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hidePivotFieldList="1"/>
  <mc:AlternateContent xmlns:mc="http://schemas.openxmlformats.org/markup-compatibility/2006">
    <mc:Choice Requires="x15">
      <x15ac:absPath xmlns:x15ac="http://schemas.microsoft.com/office/spreadsheetml/2010/11/ac" url="https://defryskemarren.sharepoint.com/sites/Aanbestedingschoonmaak/Gedeelde documenten/Aanbesteding 2025-2026/1. Aanbestedingsdocumenten/"/>
    </mc:Choice>
  </mc:AlternateContent>
  <xr:revisionPtr revIDLastSave="1" documentId="8_{A7B9C5AC-398B-4A44-BD77-5B075A45C866}" xr6:coauthVersionLast="47" xr6:coauthVersionMax="47" xr10:uidLastSave="{3086024C-98CA-4E90-B484-ED30DB686208}"/>
  <bookViews>
    <workbookView xWindow="0" yWindow="500" windowWidth="28800" windowHeight="16280" xr2:uid="{00000000-000D-0000-FFFF-FFFF00000000}"/>
  </bookViews>
  <sheets>
    <sheet name="1-Contractblad dag" sheetId="1" r:id="rId1"/>
    <sheet name="1-Contractblad locatie" sheetId="2" r:id="rId2"/>
    <sheet name="Recap" sheetId="14" r:id="rId3"/>
    <sheet name="2-Kengetal" sheetId="3" r:id="rId4"/>
    <sheet name="Blad1" sheetId="15" state="hidden" r:id="rId5"/>
    <sheet name="4-Premies en opslagen" sheetId="11" r:id="rId6"/>
    <sheet name="3-Basis ruimtestaat" sheetId="4" r:id="rId7"/>
    <sheet name="5-Opbouw uurtarief productie" sheetId="12" r:id="rId8"/>
    <sheet name="6-Opbouw uurtarief toezicht" sheetId="13" r:id="rId9"/>
    <sheet name="7-Machine-investeringskosten" sheetId="8" r:id="rId10"/>
    <sheet name="8-Glasbewassing" sheetId="9" r:id="rId11"/>
    <sheet name="9-Additionele kosten" sheetId="10" r:id="rId12"/>
  </sheets>
  <definedNames>
    <definedName name="__1F" hidden="1">#REF!</definedName>
    <definedName name="__2_0_F" hidden="1">#REF!</definedName>
    <definedName name="_1_________F" hidden="1">#REF!</definedName>
    <definedName name="_1F" hidden="1">#REF!</definedName>
    <definedName name="_2_______0_F" hidden="1">#REF!</definedName>
    <definedName name="_2_0_F" hidden="1">#REF!</definedName>
    <definedName name="_2F" hidden="1">#REF!</definedName>
    <definedName name="_3_0_F" hidden="1">#REF!</definedName>
    <definedName name="_3F" hidden="1">#REF!</definedName>
    <definedName name="_4F" hidden="1">#REF!</definedName>
    <definedName name="_5_0_F" hidden="1">#REF!</definedName>
    <definedName name="_8_0_F" hidden="1">#REF!</definedName>
    <definedName name="_Dist_Bin" hidden="1">#REF!</definedName>
    <definedName name="_Dist_Values" hidden="1">#REF!</definedName>
    <definedName name="_Fill" localSheetId="5" hidden="1">#REF!</definedName>
    <definedName name="_filll" hidden="1">#REF!</definedName>
    <definedName name="_xlnm._FilterDatabase" localSheetId="3" hidden="1">'2-Kengetal'!$A$8:$O$481</definedName>
    <definedName name="_xlnm._FilterDatabase" localSheetId="6" hidden="1">'3-Basis ruimtestaat'!$A$8:$AB$551</definedName>
    <definedName name="_xlnm._FilterDatabase" localSheetId="2" hidden="1">Recap!$A$4:$M$32</definedName>
    <definedName name="_Key1" localSheetId="5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Additioneel" localSheetId="2" hidden="1">#REF!</definedName>
    <definedName name="Additioneel" hidden="1">#REF!</definedName>
    <definedName name="code">'2-Kengetal'!$A$10:$A$481</definedName>
    <definedName name="dffdf" localSheetId="2" hidden="1">#REF!</definedName>
    <definedName name="dffdf" hidden="1">#REF!</definedName>
    <definedName name="fghf" hidden="1">#REF!</definedName>
    <definedName name="glas">'8-Glasbewassing'!$A$16:$AD$43</definedName>
    <definedName name="gs" localSheetId="2" hidden="1">#REF!</definedName>
    <definedName name="gs" hidden="1">#REF!</definedName>
    <definedName name="han" localSheetId="5" hidden="1">#REF!</definedName>
    <definedName name="HTML_CodePage" hidden="1">1252</definedName>
    <definedName name="HTML_Control" localSheetId="2" hidden="1">{"'ma_vr'!$A$1:$AA$42"}</definedName>
    <definedName name="HTML_Control" hidden="1">{"'ma_vr'!$A$1:$AA$42"}</definedName>
    <definedName name="HTML_Control_1" localSheetId="2" hidden="1">{"'ma_vr'!$A$1:$AA$42"}</definedName>
    <definedName name="HTML_Control_1" hidden="1">{"'ma_vr'!$A$1:$AA$42"}</definedName>
    <definedName name="HTML_Control_1_1" localSheetId="2" hidden="1">{"'ma_vr'!$A$1:$AA$42"}</definedName>
    <definedName name="HTML_Control_1_1" hidden="1">{"'ma_vr'!$A$1:$AA$42"}</definedName>
    <definedName name="HTML_Control_1_1_1" localSheetId="2" hidden="1">{"'ma_vr'!$A$1:$AA$42"}</definedName>
    <definedName name="HTML_Control_1_1_1" hidden="1">{"'ma_vr'!$A$1:$AA$42"}</definedName>
    <definedName name="HTML_Control_1_1_1_1" localSheetId="2" hidden="1">{"'ma_vr'!$A$1:$AA$42"}</definedName>
    <definedName name="HTML_Control_1_1_1_1" hidden="1">{"'ma_vr'!$A$1:$AA$42"}</definedName>
    <definedName name="HTML_Control_1_1_1_2" localSheetId="2" hidden="1">{"'ma_vr'!$A$1:$AA$42"}</definedName>
    <definedName name="HTML_Control_1_1_1_2" hidden="1">{"'ma_vr'!$A$1:$AA$42"}</definedName>
    <definedName name="HTML_Control_1_1_1_3" localSheetId="2" hidden="1">{"'ma_vr'!$A$1:$AA$42"}</definedName>
    <definedName name="HTML_Control_1_1_1_3" hidden="1">{"'ma_vr'!$A$1:$AA$42"}</definedName>
    <definedName name="HTML_Control_1_1_1_4" localSheetId="2" hidden="1">{"'ma_vr'!$A$1:$AA$42"}</definedName>
    <definedName name="HTML_Control_1_1_1_4" hidden="1">{"'ma_vr'!$A$1:$AA$42"}</definedName>
    <definedName name="HTML_Control_1_1_2" localSheetId="2" hidden="1">{"'ma_vr'!$A$1:$AA$42"}</definedName>
    <definedName name="HTML_Control_1_1_2" hidden="1">{"'ma_vr'!$A$1:$AA$42"}</definedName>
    <definedName name="HTML_Control_1_1_3" localSheetId="2" hidden="1">{"'ma_vr'!$A$1:$AA$42"}</definedName>
    <definedName name="HTML_Control_1_1_3" hidden="1">{"'ma_vr'!$A$1:$AA$42"}</definedName>
    <definedName name="HTML_Control_1_1_4" localSheetId="2" hidden="1">{"'ma_vr'!$A$1:$AA$42"}</definedName>
    <definedName name="HTML_Control_1_1_4" hidden="1">{"'ma_vr'!$A$1:$AA$42"}</definedName>
    <definedName name="HTML_Control_1_2" localSheetId="2" hidden="1">{"'ma_vr'!$A$1:$AA$42"}</definedName>
    <definedName name="HTML_Control_1_2" hidden="1">{"'ma_vr'!$A$1:$AA$42"}</definedName>
    <definedName name="HTML_Control_1_2_1" localSheetId="2" hidden="1">{"'ma_vr'!$A$1:$AA$42"}</definedName>
    <definedName name="HTML_Control_1_2_1" hidden="1">{"'ma_vr'!$A$1:$AA$42"}</definedName>
    <definedName name="HTML_Control_1_2_1_1" localSheetId="2" hidden="1">{"'ma_vr'!$A$1:$AA$42"}</definedName>
    <definedName name="HTML_Control_1_2_1_1" hidden="1">{"'ma_vr'!$A$1:$AA$42"}</definedName>
    <definedName name="HTML_Control_1_2_1_2" localSheetId="2" hidden="1">{"'ma_vr'!$A$1:$AA$42"}</definedName>
    <definedName name="HTML_Control_1_2_1_2" hidden="1">{"'ma_vr'!$A$1:$AA$42"}</definedName>
    <definedName name="HTML_Control_1_2_1_3" localSheetId="2" hidden="1">{"'ma_vr'!$A$1:$AA$42"}</definedName>
    <definedName name="HTML_Control_1_2_1_3" hidden="1">{"'ma_vr'!$A$1:$AA$42"}</definedName>
    <definedName name="HTML_Control_1_2_1_4" localSheetId="2" hidden="1">{"'ma_vr'!$A$1:$AA$42"}</definedName>
    <definedName name="HTML_Control_1_2_1_4" hidden="1">{"'ma_vr'!$A$1:$AA$42"}</definedName>
    <definedName name="HTML_Control_1_2_2" localSheetId="2" hidden="1">{"'ma_vr'!$A$1:$AA$42"}</definedName>
    <definedName name="HTML_Control_1_2_2" hidden="1">{"'ma_vr'!$A$1:$AA$42"}</definedName>
    <definedName name="HTML_Control_1_2_3" localSheetId="2" hidden="1">{"'ma_vr'!$A$1:$AA$42"}</definedName>
    <definedName name="HTML_Control_1_2_3" hidden="1">{"'ma_vr'!$A$1:$AA$42"}</definedName>
    <definedName name="HTML_Control_1_2_4" localSheetId="2" hidden="1">{"'ma_vr'!$A$1:$AA$42"}</definedName>
    <definedName name="HTML_Control_1_2_4" hidden="1">{"'ma_vr'!$A$1:$AA$42"}</definedName>
    <definedName name="HTML_Control_1_3" localSheetId="2" hidden="1">{"'ma_vr'!$A$1:$AA$42"}</definedName>
    <definedName name="HTML_Control_1_3" hidden="1">{"'ma_vr'!$A$1:$AA$42"}</definedName>
    <definedName name="HTML_Control_1_3_1" localSheetId="2" hidden="1">{"'ma_vr'!$A$1:$AA$42"}</definedName>
    <definedName name="HTML_Control_1_3_1" hidden="1">{"'ma_vr'!$A$1:$AA$42"}</definedName>
    <definedName name="HTML_Control_1_3_1_1" localSheetId="2" hidden="1">{"'ma_vr'!$A$1:$AA$42"}</definedName>
    <definedName name="HTML_Control_1_3_1_1" hidden="1">{"'ma_vr'!$A$1:$AA$42"}</definedName>
    <definedName name="HTML_Control_1_3_1_2" localSheetId="2" hidden="1">{"'ma_vr'!$A$1:$AA$42"}</definedName>
    <definedName name="HTML_Control_1_3_1_2" hidden="1">{"'ma_vr'!$A$1:$AA$42"}</definedName>
    <definedName name="HTML_Control_1_3_1_3" localSheetId="2" hidden="1">{"'ma_vr'!$A$1:$AA$42"}</definedName>
    <definedName name="HTML_Control_1_3_1_3" hidden="1">{"'ma_vr'!$A$1:$AA$42"}</definedName>
    <definedName name="HTML_Control_1_3_1_4" localSheetId="2" hidden="1">{"'ma_vr'!$A$1:$AA$42"}</definedName>
    <definedName name="HTML_Control_1_3_1_4" hidden="1">{"'ma_vr'!$A$1:$AA$42"}</definedName>
    <definedName name="HTML_Control_1_3_2" localSheetId="2" hidden="1">{"'ma_vr'!$A$1:$AA$42"}</definedName>
    <definedName name="HTML_Control_1_3_2" hidden="1">{"'ma_vr'!$A$1:$AA$42"}</definedName>
    <definedName name="HTML_Control_1_3_3" localSheetId="2" hidden="1">{"'ma_vr'!$A$1:$AA$42"}</definedName>
    <definedName name="HTML_Control_1_3_3" hidden="1">{"'ma_vr'!$A$1:$AA$42"}</definedName>
    <definedName name="HTML_Control_1_3_4" localSheetId="2" hidden="1">{"'ma_vr'!$A$1:$AA$42"}</definedName>
    <definedName name="HTML_Control_1_3_4" hidden="1">{"'ma_vr'!$A$1:$AA$42"}</definedName>
    <definedName name="HTML_Control_1_4" localSheetId="2" hidden="1">{"'ma_vr'!$A$1:$AA$42"}</definedName>
    <definedName name="HTML_Control_1_4" hidden="1">{"'ma_vr'!$A$1:$AA$42"}</definedName>
    <definedName name="HTML_Control_1_4_1" localSheetId="2" hidden="1">{"'ma_vr'!$A$1:$AA$42"}</definedName>
    <definedName name="HTML_Control_1_4_1" hidden="1">{"'ma_vr'!$A$1:$AA$42"}</definedName>
    <definedName name="HTML_Control_1_4_1_1" localSheetId="2" hidden="1">{"'ma_vr'!$A$1:$AA$42"}</definedName>
    <definedName name="HTML_Control_1_4_1_1" hidden="1">{"'ma_vr'!$A$1:$AA$42"}</definedName>
    <definedName name="HTML_Control_1_4_1_2" localSheetId="2" hidden="1">{"'ma_vr'!$A$1:$AA$42"}</definedName>
    <definedName name="HTML_Control_1_4_1_2" hidden="1">{"'ma_vr'!$A$1:$AA$42"}</definedName>
    <definedName name="HTML_Control_1_4_1_3" localSheetId="2" hidden="1">{"'ma_vr'!$A$1:$AA$42"}</definedName>
    <definedName name="HTML_Control_1_4_1_3" hidden="1">{"'ma_vr'!$A$1:$AA$42"}</definedName>
    <definedName name="HTML_Control_1_4_1_4" localSheetId="2" hidden="1">{"'ma_vr'!$A$1:$AA$42"}</definedName>
    <definedName name="HTML_Control_1_4_1_4" hidden="1">{"'ma_vr'!$A$1:$AA$42"}</definedName>
    <definedName name="HTML_Control_1_4_2" localSheetId="2" hidden="1">{"'ma_vr'!$A$1:$AA$42"}</definedName>
    <definedName name="HTML_Control_1_4_2" hidden="1">{"'ma_vr'!$A$1:$AA$42"}</definedName>
    <definedName name="HTML_Control_1_4_3" localSheetId="2" hidden="1">{"'ma_vr'!$A$1:$AA$42"}</definedName>
    <definedName name="HTML_Control_1_4_3" hidden="1">{"'ma_vr'!$A$1:$AA$42"}</definedName>
    <definedName name="HTML_Control_1_4_4" localSheetId="2" hidden="1">{"'ma_vr'!$A$1:$AA$42"}</definedName>
    <definedName name="HTML_Control_1_4_4" hidden="1">{"'ma_vr'!$A$1:$AA$42"}</definedName>
    <definedName name="HTML_Control_1_5" localSheetId="2" hidden="1">{"'ma_vr'!$A$1:$AA$42"}</definedName>
    <definedName name="HTML_Control_1_5" hidden="1">{"'ma_vr'!$A$1:$AA$42"}</definedName>
    <definedName name="HTML_Control_1_5_1" localSheetId="2" hidden="1">{"'ma_vr'!$A$1:$AA$42"}</definedName>
    <definedName name="HTML_Control_1_5_1" hidden="1">{"'ma_vr'!$A$1:$AA$42"}</definedName>
    <definedName name="HTML_Control_1_5_1_1" localSheetId="2" hidden="1">{"'ma_vr'!$A$1:$AA$42"}</definedName>
    <definedName name="HTML_Control_1_5_1_1" hidden="1">{"'ma_vr'!$A$1:$AA$42"}</definedName>
    <definedName name="HTML_Control_1_5_1_2" localSheetId="2" hidden="1">{"'ma_vr'!$A$1:$AA$42"}</definedName>
    <definedName name="HTML_Control_1_5_1_2" hidden="1">{"'ma_vr'!$A$1:$AA$42"}</definedName>
    <definedName name="HTML_Control_1_5_1_3" localSheetId="2" hidden="1">{"'ma_vr'!$A$1:$AA$42"}</definedName>
    <definedName name="HTML_Control_1_5_1_3" hidden="1">{"'ma_vr'!$A$1:$AA$42"}</definedName>
    <definedName name="HTML_Control_1_5_1_4" localSheetId="2" hidden="1">{"'ma_vr'!$A$1:$AA$42"}</definedName>
    <definedName name="HTML_Control_1_5_1_4" hidden="1">{"'ma_vr'!$A$1:$AA$42"}</definedName>
    <definedName name="HTML_Control_1_5_2" localSheetId="2" hidden="1">{"'ma_vr'!$A$1:$AA$42"}</definedName>
    <definedName name="HTML_Control_1_5_2" hidden="1">{"'ma_vr'!$A$1:$AA$42"}</definedName>
    <definedName name="HTML_Control_1_5_3" localSheetId="2" hidden="1">{"'ma_vr'!$A$1:$AA$42"}</definedName>
    <definedName name="HTML_Control_1_5_3" hidden="1">{"'ma_vr'!$A$1:$AA$42"}</definedName>
    <definedName name="HTML_Control_1_5_4" localSheetId="2" hidden="1">{"'ma_vr'!$A$1:$AA$42"}</definedName>
    <definedName name="HTML_Control_1_5_4" hidden="1">{"'ma_vr'!$A$1:$AA$42"}</definedName>
    <definedName name="HTML_Control_2" localSheetId="2" hidden="1">{"'ma_vr'!$A$1:$AA$42"}</definedName>
    <definedName name="HTML_Control_2" hidden="1">{"'ma_vr'!$A$1:$AA$42"}</definedName>
    <definedName name="HTML_Control_2_1" localSheetId="2" hidden="1">{"'ma_vr'!$A$1:$AA$42"}</definedName>
    <definedName name="HTML_Control_2_1" hidden="1">{"'ma_vr'!$A$1:$AA$42"}</definedName>
    <definedName name="HTML_Control_2_1_1" localSheetId="2" hidden="1">{"'ma_vr'!$A$1:$AA$42"}</definedName>
    <definedName name="HTML_Control_2_1_1" hidden="1">{"'ma_vr'!$A$1:$AA$42"}</definedName>
    <definedName name="HTML_Control_2_1_1_1" localSheetId="2" hidden="1">{"'ma_vr'!$A$1:$AA$42"}</definedName>
    <definedName name="HTML_Control_2_1_1_1" hidden="1">{"'ma_vr'!$A$1:$AA$42"}</definedName>
    <definedName name="HTML_Control_2_1_1_2" localSheetId="2" hidden="1">{"'ma_vr'!$A$1:$AA$42"}</definedName>
    <definedName name="HTML_Control_2_1_1_2" hidden="1">{"'ma_vr'!$A$1:$AA$42"}</definedName>
    <definedName name="HTML_Control_2_1_1_3" localSheetId="2" hidden="1">{"'ma_vr'!$A$1:$AA$42"}</definedName>
    <definedName name="HTML_Control_2_1_1_3" hidden="1">{"'ma_vr'!$A$1:$AA$42"}</definedName>
    <definedName name="HTML_Control_2_1_1_4" localSheetId="2" hidden="1">{"'ma_vr'!$A$1:$AA$42"}</definedName>
    <definedName name="HTML_Control_2_1_1_4" hidden="1">{"'ma_vr'!$A$1:$AA$42"}</definedName>
    <definedName name="HTML_Control_2_1_2" localSheetId="2" hidden="1">{"'ma_vr'!$A$1:$AA$42"}</definedName>
    <definedName name="HTML_Control_2_1_2" hidden="1">{"'ma_vr'!$A$1:$AA$42"}</definedName>
    <definedName name="HTML_Control_2_1_3" localSheetId="2" hidden="1">{"'ma_vr'!$A$1:$AA$42"}</definedName>
    <definedName name="HTML_Control_2_1_3" hidden="1">{"'ma_vr'!$A$1:$AA$42"}</definedName>
    <definedName name="HTML_Control_2_1_4" localSheetId="2" hidden="1">{"'ma_vr'!$A$1:$AA$42"}</definedName>
    <definedName name="HTML_Control_2_1_4" hidden="1">{"'ma_vr'!$A$1:$AA$42"}</definedName>
    <definedName name="HTML_Control_2_2" localSheetId="2" hidden="1">{"'ma_vr'!$A$1:$AA$42"}</definedName>
    <definedName name="HTML_Control_2_2" hidden="1">{"'ma_vr'!$A$1:$AA$42"}</definedName>
    <definedName name="HTML_Control_2_2_1" localSheetId="2" hidden="1">{"'ma_vr'!$A$1:$AA$42"}</definedName>
    <definedName name="HTML_Control_2_2_1" hidden="1">{"'ma_vr'!$A$1:$AA$42"}</definedName>
    <definedName name="HTML_Control_2_2_1_1" localSheetId="2" hidden="1">{"'ma_vr'!$A$1:$AA$42"}</definedName>
    <definedName name="HTML_Control_2_2_1_1" hidden="1">{"'ma_vr'!$A$1:$AA$42"}</definedName>
    <definedName name="HTML_Control_2_2_1_2" localSheetId="2" hidden="1">{"'ma_vr'!$A$1:$AA$42"}</definedName>
    <definedName name="HTML_Control_2_2_1_2" hidden="1">{"'ma_vr'!$A$1:$AA$42"}</definedName>
    <definedName name="HTML_Control_2_2_1_3" localSheetId="2" hidden="1">{"'ma_vr'!$A$1:$AA$42"}</definedName>
    <definedName name="HTML_Control_2_2_1_3" hidden="1">{"'ma_vr'!$A$1:$AA$42"}</definedName>
    <definedName name="HTML_Control_2_2_1_4" localSheetId="2" hidden="1">{"'ma_vr'!$A$1:$AA$42"}</definedName>
    <definedName name="HTML_Control_2_2_1_4" hidden="1">{"'ma_vr'!$A$1:$AA$42"}</definedName>
    <definedName name="HTML_Control_2_2_2" localSheetId="2" hidden="1">{"'ma_vr'!$A$1:$AA$42"}</definedName>
    <definedName name="HTML_Control_2_2_2" hidden="1">{"'ma_vr'!$A$1:$AA$42"}</definedName>
    <definedName name="HTML_Control_2_2_3" localSheetId="2" hidden="1">{"'ma_vr'!$A$1:$AA$42"}</definedName>
    <definedName name="HTML_Control_2_2_3" hidden="1">{"'ma_vr'!$A$1:$AA$42"}</definedName>
    <definedName name="HTML_Control_2_2_4" localSheetId="2" hidden="1">{"'ma_vr'!$A$1:$AA$42"}</definedName>
    <definedName name="HTML_Control_2_2_4" hidden="1">{"'ma_vr'!$A$1:$AA$42"}</definedName>
    <definedName name="HTML_Control_2_3" localSheetId="2" hidden="1">{"'ma_vr'!$A$1:$AA$42"}</definedName>
    <definedName name="HTML_Control_2_3" hidden="1">{"'ma_vr'!$A$1:$AA$42"}</definedName>
    <definedName name="HTML_Control_2_3_1" localSheetId="2" hidden="1">{"'ma_vr'!$A$1:$AA$42"}</definedName>
    <definedName name="HTML_Control_2_3_1" hidden="1">{"'ma_vr'!$A$1:$AA$42"}</definedName>
    <definedName name="HTML_Control_2_3_1_1" localSheetId="2" hidden="1">{"'ma_vr'!$A$1:$AA$42"}</definedName>
    <definedName name="HTML_Control_2_3_1_1" hidden="1">{"'ma_vr'!$A$1:$AA$42"}</definedName>
    <definedName name="HTML_Control_2_3_1_2" localSheetId="2" hidden="1">{"'ma_vr'!$A$1:$AA$42"}</definedName>
    <definedName name="HTML_Control_2_3_1_2" hidden="1">{"'ma_vr'!$A$1:$AA$42"}</definedName>
    <definedName name="HTML_Control_2_3_1_3" localSheetId="2" hidden="1">{"'ma_vr'!$A$1:$AA$42"}</definedName>
    <definedName name="HTML_Control_2_3_1_3" hidden="1">{"'ma_vr'!$A$1:$AA$42"}</definedName>
    <definedName name="HTML_Control_2_3_1_4" localSheetId="2" hidden="1">{"'ma_vr'!$A$1:$AA$42"}</definedName>
    <definedName name="HTML_Control_2_3_1_4" hidden="1">{"'ma_vr'!$A$1:$AA$42"}</definedName>
    <definedName name="HTML_Control_2_3_2" localSheetId="2" hidden="1">{"'ma_vr'!$A$1:$AA$42"}</definedName>
    <definedName name="HTML_Control_2_3_2" hidden="1">{"'ma_vr'!$A$1:$AA$42"}</definedName>
    <definedName name="HTML_Control_2_3_3" localSheetId="2" hidden="1">{"'ma_vr'!$A$1:$AA$42"}</definedName>
    <definedName name="HTML_Control_2_3_3" hidden="1">{"'ma_vr'!$A$1:$AA$42"}</definedName>
    <definedName name="HTML_Control_2_3_4" localSheetId="2" hidden="1">{"'ma_vr'!$A$1:$AA$42"}</definedName>
    <definedName name="HTML_Control_2_3_4" hidden="1">{"'ma_vr'!$A$1:$AA$42"}</definedName>
    <definedName name="HTML_Control_2_4" localSheetId="2" hidden="1">{"'ma_vr'!$A$1:$AA$42"}</definedName>
    <definedName name="HTML_Control_2_4" hidden="1">{"'ma_vr'!$A$1:$AA$42"}</definedName>
    <definedName name="HTML_Control_2_4_1" localSheetId="2" hidden="1">{"'ma_vr'!$A$1:$AA$42"}</definedName>
    <definedName name="HTML_Control_2_4_1" hidden="1">{"'ma_vr'!$A$1:$AA$42"}</definedName>
    <definedName name="HTML_Control_2_4_1_1" localSheetId="2" hidden="1">{"'ma_vr'!$A$1:$AA$42"}</definedName>
    <definedName name="HTML_Control_2_4_1_1" hidden="1">{"'ma_vr'!$A$1:$AA$42"}</definedName>
    <definedName name="HTML_Control_2_4_1_2" localSheetId="2" hidden="1">{"'ma_vr'!$A$1:$AA$42"}</definedName>
    <definedName name="HTML_Control_2_4_1_2" hidden="1">{"'ma_vr'!$A$1:$AA$42"}</definedName>
    <definedName name="HTML_Control_2_4_1_3" localSheetId="2" hidden="1">{"'ma_vr'!$A$1:$AA$42"}</definedName>
    <definedName name="HTML_Control_2_4_1_3" hidden="1">{"'ma_vr'!$A$1:$AA$42"}</definedName>
    <definedName name="HTML_Control_2_4_1_4" localSheetId="2" hidden="1">{"'ma_vr'!$A$1:$AA$42"}</definedName>
    <definedName name="HTML_Control_2_4_1_4" hidden="1">{"'ma_vr'!$A$1:$AA$42"}</definedName>
    <definedName name="HTML_Control_2_4_2" localSheetId="2" hidden="1">{"'ma_vr'!$A$1:$AA$42"}</definedName>
    <definedName name="HTML_Control_2_4_2" hidden="1">{"'ma_vr'!$A$1:$AA$42"}</definedName>
    <definedName name="HTML_Control_2_4_3" localSheetId="2" hidden="1">{"'ma_vr'!$A$1:$AA$42"}</definedName>
    <definedName name="HTML_Control_2_4_3" hidden="1">{"'ma_vr'!$A$1:$AA$42"}</definedName>
    <definedName name="HTML_Control_2_4_4" localSheetId="2" hidden="1">{"'ma_vr'!$A$1:$AA$42"}</definedName>
    <definedName name="HTML_Control_2_4_4" hidden="1">{"'ma_vr'!$A$1:$AA$42"}</definedName>
    <definedName name="HTML_Control_2_5" localSheetId="2" hidden="1">{"'ma_vr'!$A$1:$AA$42"}</definedName>
    <definedName name="HTML_Control_2_5" hidden="1">{"'ma_vr'!$A$1:$AA$42"}</definedName>
    <definedName name="HTML_Control_2_5_1" localSheetId="2" hidden="1">{"'ma_vr'!$A$1:$AA$42"}</definedName>
    <definedName name="HTML_Control_2_5_1" hidden="1">{"'ma_vr'!$A$1:$AA$42"}</definedName>
    <definedName name="HTML_Control_2_5_1_1" localSheetId="2" hidden="1">{"'ma_vr'!$A$1:$AA$42"}</definedName>
    <definedName name="HTML_Control_2_5_1_1" hidden="1">{"'ma_vr'!$A$1:$AA$42"}</definedName>
    <definedName name="HTML_Control_2_5_1_2" localSheetId="2" hidden="1">{"'ma_vr'!$A$1:$AA$42"}</definedName>
    <definedName name="HTML_Control_2_5_1_2" hidden="1">{"'ma_vr'!$A$1:$AA$42"}</definedName>
    <definedName name="HTML_Control_2_5_1_3" localSheetId="2" hidden="1">{"'ma_vr'!$A$1:$AA$42"}</definedName>
    <definedName name="HTML_Control_2_5_1_3" hidden="1">{"'ma_vr'!$A$1:$AA$42"}</definedName>
    <definedName name="HTML_Control_2_5_1_4" localSheetId="2" hidden="1">{"'ma_vr'!$A$1:$AA$42"}</definedName>
    <definedName name="HTML_Control_2_5_1_4" hidden="1">{"'ma_vr'!$A$1:$AA$42"}</definedName>
    <definedName name="HTML_Control_2_5_2" localSheetId="2" hidden="1">{"'ma_vr'!$A$1:$AA$42"}</definedName>
    <definedName name="HTML_Control_2_5_2" hidden="1">{"'ma_vr'!$A$1:$AA$42"}</definedName>
    <definedName name="HTML_Control_2_5_3" localSheetId="2" hidden="1">{"'ma_vr'!$A$1:$AA$42"}</definedName>
    <definedName name="HTML_Control_2_5_3" hidden="1">{"'ma_vr'!$A$1:$AA$42"}</definedName>
    <definedName name="HTML_Control_2_5_4" localSheetId="2" hidden="1">{"'ma_vr'!$A$1:$AA$42"}</definedName>
    <definedName name="HTML_Control_2_5_4" hidden="1">{"'ma_vr'!$A$1:$AA$42"}</definedName>
    <definedName name="HTML_Control_3" localSheetId="2" hidden="1">{"'ma_vr'!$A$1:$AA$42"}</definedName>
    <definedName name="HTML_Control_3" hidden="1">{"'ma_vr'!$A$1:$AA$42"}</definedName>
    <definedName name="HTML_Control_3_1" localSheetId="2" hidden="1">{"'ma_vr'!$A$1:$AA$42"}</definedName>
    <definedName name="HTML_Control_3_1" hidden="1">{"'ma_vr'!$A$1:$AA$42"}</definedName>
    <definedName name="HTML_Control_3_1_1" localSheetId="2" hidden="1">{"'ma_vr'!$A$1:$AA$42"}</definedName>
    <definedName name="HTML_Control_3_1_1" hidden="1">{"'ma_vr'!$A$1:$AA$42"}</definedName>
    <definedName name="HTML_Control_3_1_2" localSheetId="2" hidden="1">{"'ma_vr'!$A$1:$AA$42"}</definedName>
    <definedName name="HTML_Control_3_1_2" hidden="1">{"'ma_vr'!$A$1:$AA$42"}</definedName>
    <definedName name="HTML_Control_3_1_3" localSheetId="2" hidden="1">{"'ma_vr'!$A$1:$AA$42"}</definedName>
    <definedName name="HTML_Control_3_1_3" hidden="1">{"'ma_vr'!$A$1:$AA$42"}</definedName>
    <definedName name="HTML_Control_3_1_4" localSheetId="2" hidden="1">{"'ma_vr'!$A$1:$AA$42"}</definedName>
    <definedName name="HTML_Control_3_1_4" hidden="1">{"'ma_vr'!$A$1:$AA$42"}</definedName>
    <definedName name="HTML_Control_3_2" localSheetId="2" hidden="1">{"'ma_vr'!$A$1:$AA$42"}</definedName>
    <definedName name="HTML_Control_3_2" hidden="1">{"'ma_vr'!$A$1:$AA$42"}</definedName>
    <definedName name="HTML_Control_3_3" localSheetId="2" hidden="1">{"'ma_vr'!$A$1:$AA$42"}</definedName>
    <definedName name="HTML_Control_3_3" hidden="1">{"'ma_vr'!$A$1:$AA$42"}</definedName>
    <definedName name="HTML_Control_3_4" localSheetId="2" hidden="1">{"'ma_vr'!$A$1:$AA$42"}</definedName>
    <definedName name="HTML_Control_3_4" hidden="1">{"'ma_vr'!$A$1:$AA$42"}</definedName>
    <definedName name="HTML_Control_4" localSheetId="2" hidden="1">{"'ma_vr'!$A$1:$AA$42"}</definedName>
    <definedName name="HTML_Control_4" hidden="1">{"'ma_vr'!$A$1:$AA$42"}</definedName>
    <definedName name="HTML_Control_4_1" localSheetId="2" hidden="1">{"'ma_vr'!$A$1:$AA$42"}</definedName>
    <definedName name="HTML_Control_4_1" hidden="1">{"'ma_vr'!$A$1:$AA$42"}</definedName>
    <definedName name="HTML_Control_4_1_1" localSheetId="2" hidden="1">{"'ma_vr'!$A$1:$AA$42"}</definedName>
    <definedName name="HTML_Control_4_1_1" hidden="1">{"'ma_vr'!$A$1:$AA$42"}</definedName>
    <definedName name="HTML_Control_4_1_2" localSheetId="2" hidden="1">{"'ma_vr'!$A$1:$AA$42"}</definedName>
    <definedName name="HTML_Control_4_1_2" hidden="1">{"'ma_vr'!$A$1:$AA$42"}</definedName>
    <definedName name="HTML_Control_4_1_3" localSheetId="2" hidden="1">{"'ma_vr'!$A$1:$AA$42"}</definedName>
    <definedName name="HTML_Control_4_1_3" hidden="1">{"'ma_vr'!$A$1:$AA$42"}</definedName>
    <definedName name="HTML_Control_4_1_4" localSheetId="2" hidden="1">{"'ma_vr'!$A$1:$AA$42"}</definedName>
    <definedName name="HTML_Control_4_1_4" hidden="1">{"'ma_vr'!$A$1:$AA$42"}</definedName>
    <definedName name="HTML_Control_4_2" localSheetId="2" hidden="1">{"'ma_vr'!$A$1:$AA$42"}</definedName>
    <definedName name="HTML_Control_4_2" hidden="1">{"'ma_vr'!$A$1:$AA$42"}</definedName>
    <definedName name="HTML_Control_4_3" localSheetId="2" hidden="1">{"'ma_vr'!$A$1:$AA$42"}</definedName>
    <definedName name="HTML_Control_4_3" hidden="1">{"'ma_vr'!$A$1:$AA$42"}</definedName>
    <definedName name="HTML_Control_4_4" localSheetId="2" hidden="1">{"'ma_vr'!$A$1:$AA$42"}</definedName>
    <definedName name="HTML_Control_4_4" hidden="1">{"'ma_vr'!$A$1:$AA$42"}</definedName>
    <definedName name="HTML_Control_5" localSheetId="2" hidden="1">{"'ma_vr'!$A$1:$AA$42"}</definedName>
    <definedName name="HTML_Control_5" hidden="1">{"'ma_vr'!$A$1:$AA$42"}</definedName>
    <definedName name="HTML_Control_5_1" localSheetId="2" hidden="1">{"'ma_vr'!$A$1:$AA$42"}</definedName>
    <definedName name="HTML_Control_5_1" hidden="1">{"'ma_vr'!$A$1:$AA$42"}</definedName>
    <definedName name="HTML_Control_5_1_1" localSheetId="2" hidden="1">{"'ma_vr'!$A$1:$AA$42"}</definedName>
    <definedName name="HTML_Control_5_1_1" hidden="1">{"'ma_vr'!$A$1:$AA$42"}</definedName>
    <definedName name="HTML_Control_5_1_2" localSheetId="2" hidden="1">{"'ma_vr'!$A$1:$AA$42"}</definedName>
    <definedName name="HTML_Control_5_1_2" hidden="1">{"'ma_vr'!$A$1:$AA$42"}</definedName>
    <definedName name="HTML_Control_5_1_3" localSheetId="2" hidden="1">{"'ma_vr'!$A$1:$AA$42"}</definedName>
    <definedName name="HTML_Control_5_1_3" hidden="1">{"'ma_vr'!$A$1:$AA$42"}</definedName>
    <definedName name="HTML_Control_5_1_4" localSheetId="2" hidden="1">{"'ma_vr'!$A$1:$AA$42"}</definedName>
    <definedName name="HTML_Control_5_1_4" hidden="1">{"'ma_vr'!$A$1:$AA$42"}</definedName>
    <definedName name="HTML_Control_5_2" localSheetId="2" hidden="1">{"'ma_vr'!$A$1:$AA$42"}</definedName>
    <definedName name="HTML_Control_5_2" hidden="1">{"'ma_vr'!$A$1:$AA$42"}</definedName>
    <definedName name="HTML_Control_5_3" localSheetId="2" hidden="1">{"'ma_vr'!$A$1:$AA$42"}</definedName>
    <definedName name="HTML_Control_5_3" hidden="1">{"'ma_vr'!$A$1:$AA$42"}</definedName>
    <definedName name="HTML_Control_5_4" localSheetId="2" hidden="1">{"'ma_vr'!$A$1:$AA$42"}</definedName>
    <definedName name="HTML_Control_5_4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etal">'2-Kengetal'!$A$9:$M$481</definedName>
    <definedName name="kjh" hidden="1">#REF!</definedName>
    <definedName name="locatie">'8-Glasbewassing'!$A$16:$A$43</definedName>
    <definedName name="Mutatiederdekwartaal" localSheetId="2" hidden="1">{"'ma_vr'!$A$1:$AA$42"}</definedName>
    <definedName name="Mutatiederdekwartaal" hidden="1">{"'ma_vr'!$A$1:$AA$42"}</definedName>
    <definedName name="Mutatiederdekwartaal_1" localSheetId="2" hidden="1">{"'ma_vr'!$A$1:$AA$42"}</definedName>
    <definedName name="Mutatiederdekwartaal_1" hidden="1">{"'ma_vr'!$A$1:$AA$42"}</definedName>
    <definedName name="Mutatiederdekwartaal_1_1" localSheetId="2" hidden="1">{"'ma_vr'!$A$1:$AA$42"}</definedName>
    <definedName name="Mutatiederdekwartaal_1_1" hidden="1">{"'ma_vr'!$A$1:$AA$42"}</definedName>
    <definedName name="Mutatiederdekwartaal_1_1_1" localSheetId="2" hidden="1">{"'ma_vr'!$A$1:$AA$42"}</definedName>
    <definedName name="Mutatiederdekwartaal_1_1_1" hidden="1">{"'ma_vr'!$A$1:$AA$42"}</definedName>
    <definedName name="Mutatiederdekwartaal_1_1_1_1" localSheetId="2" hidden="1">{"'ma_vr'!$A$1:$AA$42"}</definedName>
    <definedName name="Mutatiederdekwartaal_1_1_1_1" hidden="1">{"'ma_vr'!$A$1:$AA$42"}</definedName>
    <definedName name="Mutatiederdekwartaal_1_1_1_2" localSheetId="2" hidden="1">{"'ma_vr'!$A$1:$AA$42"}</definedName>
    <definedName name="Mutatiederdekwartaal_1_1_1_2" hidden="1">{"'ma_vr'!$A$1:$AA$42"}</definedName>
    <definedName name="Mutatiederdekwartaal_1_1_1_3" localSheetId="2" hidden="1">{"'ma_vr'!$A$1:$AA$42"}</definedName>
    <definedName name="Mutatiederdekwartaal_1_1_1_3" hidden="1">{"'ma_vr'!$A$1:$AA$42"}</definedName>
    <definedName name="Mutatiederdekwartaal_1_1_1_4" localSheetId="2" hidden="1">{"'ma_vr'!$A$1:$AA$42"}</definedName>
    <definedName name="Mutatiederdekwartaal_1_1_1_4" hidden="1">{"'ma_vr'!$A$1:$AA$42"}</definedName>
    <definedName name="Mutatiederdekwartaal_1_1_2" localSheetId="2" hidden="1">{"'ma_vr'!$A$1:$AA$42"}</definedName>
    <definedName name="Mutatiederdekwartaal_1_1_2" hidden="1">{"'ma_vr'!$A$1:$AA$42"}</definedName>
    <definedName name="Mutatiederdekwartaal_1_1_3" localSheetId="2" hidden="1">{"'ma_vr'!$A$1:$AA$42"}</definedName>
    <definedName name="Mutatiederdekwartaal_1_1_3" hidden="1">{"'ma_vr'!$A$1:$AA$42"}</definedName>
    <definedName name="Mutatiederdekwartaal_1_1_4" localSheetId="2" hidden="1">{"'ma_vr'!$A$1:$AA$42"}</definedName>
    <definedName name="Mutatiederdekwartaal_1_1_4" hidden="1">{"'ma_vr'!$A$1:$AA$42"}</definedName>
    <definedName name="Mutatiederdekwartaal_1_2" localSheetId="2" hidden="1">{"'ma_vr'!$A$1:$AA$42"}</definedName>
    <definedName name="Mutatiederdekwartaal_1_2" hidden="1">{"'ma_vr'!$A$1:$AA$42"}</definedName>
    <definedName name="Mutatiederdekwartaal_1_2_1" localSheetId="2" hidden="1">{"'ma_vr'!$A$1:$AA$42"}</definedName>
    <definedName name="Mutatiederdekwartaal_1_2_1" hidden="1">{"'ma_vr'!$A$1:$AA$42"}</definedName>
    <definedName name="Mutatiederdekwartaal_1_2_1_1" localSheetId="2" hidden="1">{"'ma_vr'!$A$1:$AA$42"}</definedName>
    <definedName name="Mutatiederdekwartaal_1_2_1_1" hidden="1">{"'ma_vr'!$A$1:$AA$42"}</definedName>
    <definedName name="Mutatiederdekwartaal_1_2_1_2" localSheetId="2" hidden="1">{"'ma_vr'!$A$1:$AA$42"}</definedName>
    <definedName name="Mutatiederdekwartaal_1_2_1_2" hidden="1">{"'ma_vr'!$A$1:$AA$42"}</definedName>
    <definedName name="Mutatiederdekwartaal_1_2_1_3" localSheetId="2" hidden="1">{"'ma_vr'!$A$1:$AA$42"}</definedName>
    <definedName name="Mutatiederdekwartaal_1_2_1_3" hidden="1">{"'ma_vr'!$A$1:$AA$42"}</definedName>
    <definedName name="Mutatiederdekwartaal_1_2_1_4" localSheetId="2" hidden="1">{"'ma_vr'!$A$1:$AA$42"}</definedName>
    <definedName name="Mutatiederdekwartaal_1_2_1_4" hidden="1">{"'ma_vr'!$A$1:$AA$42"}</definedName>
    <definedName name="Mutatiederdekwartaal_1_2_2" localSheetId="2" hidden="1">{"'ma_vr'!$A$1:$AA$42"}</definedName>
    <definedName name="Mutatiederdekwartaal_1_2_2" hidden="1">{"'ma_vr'!$A$1:$AA$42"}</definedName>
    <definedName name="Mutatiederdekwartaal_1_2_3" localSheetId="2" hidden="1">{"'ma_vr'!$A$1:$AA$42"}</definedName>
    <definedName name="Mutatiederdekwartaal_1_2_3" hidden="1">{"'ma_vr'!$A$1:$AA$42"}</definedName>
    <definedName name="Mutatiederdekwartaal_1_2_4" localSheetId="2" hidden="1">{"'ma_vr'!$A$1:$AA$42"}</definedName>
    <definedName name="Mutatiederdekwartaal_1_2_4" hidden="1">{"'ma_vr'!$A$1:$AA$42"}</definedName>
    <definedName name="Mutatiederdekwartaal_1_3" localSheetId="2" hidden="1">{"'ma_vr'!$A$1:$AA$42"}</definedName>
    <definedName name="Mutatiederdekwartaal_1_3" hidden="1">{"'ma_vr'!$A$1:$AA$42"}</definedName>
    <definedName name="Mutatiederdekwartaal_1_3_1" localSheetId="2" hidden="1">{"'ma_vr'!$A$1:$AA$42"}</definedName>
    <definedName name="Mutatiederdekwartaal_1_3_1" hidden="1">{"'ma_vr'!$A$1:$AA$42"}</definedName>
    <definedName name="Mutatiederdekwartaal_1_3_1_1" localSheetId="2" hidden="1">{"'ma_vr'!$A$1:$AA$42"}</definedName>
    <definedName name="Mutatiederdekwartaal_1_3_1_1" hidden="1">{"'ma_vr'!$A$1:$AA$42"}</definedName>
    <definedName name="Mutatiederdekwartaal_1_3_1_2" localSheetId="2" hidden="1">{"'ma_vr'!$A$1:$AA$42"}</definedName>
    <definedName name="Mutatiederdekwartaal_1_3_1_2" hidden="1">{"'ma_vr'!$A$1:$AA$42"}</definedName>
    <definedName name="Mutatiederdekwartaal_1_3_1_3" localSheetId="2" hidden="1">{"'ma_vr'!$A$1:$AA$42"}</definedName>
    <definedName name="Mutatiederdekwartaal_1_3_1_3" hidden="1">{"'ma_vr'!$A$1:$AA$42"}</definedName>
    <definedName name="Mutatiederdekwartaal_1_3_1_4" localSheetId="2" hidden="1">{"'ma_vr'!$A$1:$AA$42"}</definedName>
    <definedName name="Mutatiederdekwartaal_1_3_1_4" hidden="1">{"'ma_vr'!$A$1:$AA$42"}</definedName>
    <definedName name="Mutatiederdekwartaal_1_3_2" localSheetId="2" hidden="1">{"'ma_vr'!$A$1:$AA$42"}</definedName>
    <definedName name="Mutatiederdekwartaal_1_3_2" hidden="1">{"'ma_vr'!$A$1:$AA$42"}</definedName>
    <definedName name="Mutatiederdekwartaal_1_3_3" localSheetId="2" hidden="1">{"'ma_vr'!$A$1:$AA$42"}</definedName>
    <definedName name="Mutatiederdekwartaal_1_3_3" hidden="1">{"'ma_vr'!$A$1:$AA$42"}</definedName>
    <definedName name="Mutatiederdekwartaal_1_3_4" localSheetId="2" hidden="1">{"'ma_vr'!$A$1:$AA$42"}</definedName>
    <definedName name="Mutatiederdekwartaal_1_3_4" hidden="1">{"'ma_vr'!$A$1:$AA$42"}</definedName>
    <definedName name="Mutatiederdekwartaal_1_4" localSheetId="2" hidden="1">{"'ma_vr'!$A$1:$AA$42"}</definedName>
    <definedName name="Mutatiederdekwartaal_1_4" hidden="1">{"'ma_vr'!$A$1:$AA$42"}</definedName>
    <definedName name="Mutatiederdekwartaal_1_4_1" localSheetId="2" hidden="1">{"'ma_vr'!$A$1:$AA$42"}</definedName>
    <definedName name="Mutatiederdekwartaal_1_4_1" hidden="1">{"'ma_vr'!$A$1:$AA$42"}</definedName>
    <definedName name="Mutatiederdekwartaal_1_4_1_1" localSheetId="2" hidden="1">{"'ma_vr'!$A$1:$AA$42"}</definedName>
    <definedName name="Mutatiederdekwartaal_1_4_1_1" hidden="1">{"'ma_vr'!$A$1:$AA$42"}</definedName>
    <definedName name="Mutatiederdekwartaal_1_4_1_2" localSheetId="2" hidden="1">{"'ma_vr'!$A$1:$AA$42"}</definedName>
    <definedName name="Mutatiederdekwartaal_1_4_1_2" hidden="1">{"'ma_vr'!$A$1:$AA$42"}</definedName>
    <definedName name="Mutatiederdekwartaal_1_4_1_3" localSheetId="2" hidden="1">{"'ma_vr'!$A$1:$AA$42"}</definedName>
    <definedName name="Mutatiederdekwartaal_1_4_1_3" hidden="1">{"'ma_vr'!$A$1:$AA$42"}</definedName>
    <definedName name="Mutatiederdekwartaal_1_4_1_4" localSheetId="2" hidden="1">{"'ma_vr'!$A$1:$AA$42"}</definedName>
    <definedName name="Mutatiederdekwartaal_1_4_1_4" hidden="1">{"'ma_vr'!$A$1:$AA$42"}</definedName>
    <definedName name="Mutatiederdekwartaal_1_4_2" localSheetId="2" hidden="1">{"'ma_vr'!$A$1:$AA$42"}</definedName>
    <definedName name="Mutatiederdekwartaal_1_4_2" hidden="1">{"'ma_vr'!$A$1:$AA$42"}</definedName>
    <definedName name="Mutatiederdekwartaal_1_4_3" localSheetId="2" hidden="1">{"'ma_vr'!$A$1:$AA$42"}</definedName>
    <definedName name="Mutatiederdekwartaal_1_4_3" hidden="1">{"'ma_vr'!$A$1:$AA$42"}</definedName>
    <definedName name="Mutatiederdekwartaal_1_4_4" localSheetId="2" hidden="1">{"'ma_vr'!$A$1:$AA$42"}</definedName>
    <definedName name="Mutatiederdekwartaal_1_4_4" hidden="1">{"'ma_vr'!$A$1:$AA$42"}</definedName>
    <definedName name="Mutatiederdekwartaal_1_5" localSheetId="2" hidden="1">{"'ma_vr'!$A$1:$AA$42"}</definedName>
    <definedName name="Mutatiederdekwartaal_1_5" hidden="1">{"'ma_vr'!$A$1:$AA$42"}</definedName>
    <definedName name="Mutatiederdekwartaal_1_5_1" localSheetId="2" hidden="1">{"'ma_vr'!$A$1:$AA$42"}</definedName>
    <definedName name="Mutatiederdekwartaal_1_5_1" hidden="1">{"'ma_vr'!$A$1:$AA$42"}</definedName>
    <definedName name="Mutatiederdekwartaal_1_5_1_1" localSheetId="2" hidden="1">{"'ma_vr'!$A$1:$AA$42"}</definedName>
    <definedName name="Mutatiederdekwartaal_1_5_1_1" hidden="1">{"'ma_vr'!$A$1:$AA$42"}</definedName>
    <definedName name="Mutatiederdekwartaal_1_5_1_2" localSheetId="2" hidden="1">{"'ma_vr'!$A$1:$AA$42"}</definedName>
    <definedName name="Mutatiederdekwartaal_1_5_1_2" hidden="1">{"'ma_vr'!$A$1:$AA$42"}</definedName>
    <definedName name="Mutatiederdekwartaal_1_5_1_3" localSheetId="2" hidden="1">{"'ma_vr'!$A$1:$AA$42"}</definedName>
    <definedName name="Mutatiederdekwartaal_1_5_1_3" hidden="1">{"'ma_vr'!$A$1:$AA$42"}</definedName>
    <definedName name="Mutatiederdekwartaal_1_5_1_4" localSheetId="2" hidden="1">{"'ma_vr'!$A$1:$AA$42"}</definedName>
    <definedName name="Mutatiederdekwartaal_1_5_1_4" hidden="1">{"'ma_vr'!$A$1:$AA$42"}</definedName>
    <definedName name="Mutatiederdekwartaal_1_5_2" localSheetId="2" hidden="1">{"'ma_vr'!$A$1:$AA$42"}</definedName>
    <definedName name="Mutatiederdekwartaal_1_5_2" hidden="1">{"'ma_vr'!$A$1:$AA$42"}</definedName>
    <definedName name="Mutatiederdekwartaal_1_5_3" localSheetId="2" hidden="1">{"'ma_vr'!$A$1:$AA$42"}</definedName>
    <definedName name="Mutatiederdekwartaal_1_5_3" hidden="1">{"'ma_vr'!$A$1:$AA$42"}</definedName>
    <definedName name="Mutatiederdekwartaal_1_5_4" localSheetId="2" hidden="1">{"'ma_vr'!$A$1:$AA$42"}</definedName>
    <definedName name="Mutatiederdekwartaal_1_5_4" hidden="1">{"'ma_vr'!$A$1:$AA$42"}</definedName>
    <definedName name="Mutatiederdekwartaal_2" localSheetId="2" hidden="1">{"'ma_vr'!$A$1:$AA$42"}</definedName>
    <definedName name="Mutatiederdekwartaal_2" hidden="1">{"'ma_vr'!$A$1:$AA$42"}</definedName>
    <definedName name="Mutatiederdekwartaal_2_1" localSheetId="2" hidden="1">{"'ma_vr'!$A$1:$AA$42"}</definedName>
    <definedName name="Mutatiederdekwartaal_2_1" hidden="1">{"'ma_vr'!$A$1:$AA$42"}</definedName>
    <definedName name="Mutatiederdekwartaal_2_1_1" localSheetId="2" hidden="1">{"'ma_vr'!$A$1:$AA$42"}</definedName>
    <definedName name="Mutatiederdekwartaal_2_1_1" hidden="1">{"'ma_vr'!$A$1:$AA$42"}</definedName>
    <definedName name="Mutatiederdekwartaal_2_1_1_1" localSheetId="2" hidden="1">{"'ma_vr'!$A$1:$AA$42"}</definedName>
    <definedName name="Mutatiederdekwartaal_2_1_1_1" hidden="1">{"'ma_vr'!$A$1:$AA$42"}</definedName>
    <definedName name="Mutatiederdekwartaal_2_1_1_2" localSheetId="2" hidden="1">{"'ma_vr'!$A$1:$AA$42"}</definedName>
    <definedName name="Mutatiederdekwartaal_2_1_1_2" hidden="1">{"'ma_vr'!$A$1:$AA$42"}</definedName>
    <definedName name="Mutatiederdekwartaal_2_1_1_3" localSheetId="2" hidden="1">{"'ma_vr'!$A$1:$AA$42"}</definedName>
    <definedName name="Mutatiederdekwartaal_2_1_1_3" hidden="1">{"'ma_vr'!$A$1:$AA$42"}</definedName>
    <definedName name="Mutatiederdekwartaal_2_1_1_4" localSheetId="2" hidden="1">{"'ma_vr'!$A$1:$AA$42"}</definedName>
    <definedName name="Mutatiederdekwartaal_2_1_1_4" hidden="1">{"'ma_vr'!$A$1:$AA$42"}</definedName>
    <definedName name="Mutatiederdekwartaal_2_1_2" localSheetId="2" hidden="1">{"'ma_vr'!$A$1:$AA$42"}</definedName>
    <definedName name="Mutatiederdekwartaal_2_1_2" hidden="1">{"'ma_vr'!$A$1:$AA$42"}</definedName>
    <definedName name="Mutatiederdekwartaal_2_1_3" localSheetId="2" hidden="1">{"'ma_vr'!$A$1:$AA$42"}</definedName>
    <definedName name="Mutatiederdekwartaal_2_1_3" hidden="1">{"'ma_vr'!$A$1:$AA$42"}</definedName>
    <definedName name="Mutatiederdekwartaal_2_1_4" localSheetId="2" hidden="1">{"'ma_vr'!$A$1:$AA$42"}</definedName>
    <definedName name="Mutatiederdekwartaal_2_1_4" hidden="1">{"'ma_vr'!$A$1:$AA$42"}</definedName>
    <definedName name="Mutatiederdekwartaal_2_2" localSheetId="2" hidden="1">{"'ma_vr'!$A$1:$AA$42"}</definedName>
    <definedName name="Mutatiederdekwartaal_2_2" hidden="1">{"'ma_vr'!$A$1:$AA$42"}</definedName>
    <definedName name="Mutatiederdekwartaal_2_2_1" localSheetId="2" hidden="1">{"'ma_vr'!$A$1:$AA$42"}</definedName>
    <definedName name="Mutatiederdekwartaal_2_2_1" hidden="1">{"'ma_vr'!$A$1:$AA$42"}</definedName>
    <definedName name="Mutatiederdekwartaal_2_2_1_1" localSheetId="2" hidden="1">{"'ma_vr'!$A$1:$AA$42"}</definedName>
    <definedName name="Mutatiederdekwartaal_2_2_1_1" hidden="1">{"'ma_vr'!$A$1:$AA$42"}</definedName>
    <definedName name="Mutatiederdekwartaal_2_2_1_2" localSheetId="2" hidden="1">{"'ma_vr'!$A$1:$AA$42"}</definedName>
    <definedName name="Mutatiederdekwartaal_2_2_1_2" hidden="1">{"'ma_vr'!$A$1:$AA$42"}</definedName>
    <definedName name="Mutatiederdekwartaal_2_2_1_3" localSheetId="2" hidden="1">{"'ma_vr'!$A$1:$AA$42"}</definedName>
    <definedName name="Mutatiederdekwartaal_2_2_1_3" hidden="1">{"'ma_vr'!$A$1:$AA$42"}</definedName>
    <definedName name="Mutatiederdekwartaal_2_2_1_4" localSheetId="2" hidden="1">{"'ma_vr'!$A$1:$AA$42"}</definedName>
    <definedName name="Mutatiederdekwartaal_2_2_1_4" hidden="1">{"'ma_vr'!$A$1:$AA$42"}</definedName>
    <definedName name="Mutatiederdekwartaal_2_2_2" localSheetId="2" hidden="1">{"'ma_vr'!$A$1:$AA$42"}</definedName>
    <definedName name="Mutatiederdekwartaal_2_2_2" hidden="1">{"'ma_vr'!$A$1:$AA$42"}</definedName>
    <definedName name="Mutatiederdekwartaal_2_2_3" localSheetId="2" hidden="1">{"'ma_vr'!$A$1:$AA$42"}</definedName>
    <definedName name="Mutatiederdekwartaal_2_2_3" hidden="1">{"'ma_vr'!$A$1:$AA$42"}</definedName>
    <definedName name="Mutatiederdekwartaal_2_2_4" localSheetId="2" hidden="1">{"'ma_vr'!$A$1:$AA$42"}</definedName>
    <definedName name="Mutatiederdekwartaal_2_2_4" hidden="1">{"'ma_vr'!$A$1:$AA$42"}</definedName>
    <definedName name="Mutatiederdekwartaal_2_3" localSheetId="2" hidden="1">{"'ma_vr'!$A$1:$AA$42"}</definedName>
    <definedName name="Mutatiederdekwartaal_2_3" hidden="1">{"'ma_vr'!$A$1:$AA$42"}</definedName>
    <definedName name="Mutatiederdekwartaal_2_3_1" localSheetId="2" hidden="1">{"'ma_vr'!$A$1:$AA$42"}</definedName>
    <definedName name="Mutatiederdekwartaal_2_3_1" hidden="1">{"'ma_vr'!$A$1:$AA$42"}</definedName>
    <definedName name="Mutatiederdekwartaal_2_3_1_1" localSheetId="2" hidden="1">{"'ma_vr'!$A$1:$AA$42"}</definedName>
    <definedName name="Mutatiederdekwartaal_2_3_1_1" hidden="1">{"'ma_vr'!$A$1:$AA$42"}</definedName>
    <definedName name="Mutatiederdekwartaal_2_3_1_2" localSheetId="2" hidden="1">{"'ma_vr'!$A$1:$AA$42"}</definedName>
    <definedName name="Mutatiederdekwartaal_2_3_1_2" hidden="1">{"'ma_vr'!$A$1:$AA$42"}</definedName>
    <definedName name="Mutatiederdekwartaal_2_3_1_3" localSheetId="2" hidden="1">{"'ma_vr'!$A$1:$AA$42"}</definedName>
    <definedName name="Mutatiederdekwartaal_2_3_1_3" hidden="1">{"'ma_vr'!$A$1:$AA$42"}</definedName>
    <definedName name="Mutatiederdekwartaal_2_3_1_4" localSheetId="2" hidden="1">{"'ma_vr'!$A$1:$AA$42"}</definedName>
    <definedName name="Mutatiederdekwartaal_2_3_1_4" hidden="1">{"'ma_vr'!$A$1:$AA$42"}</definedName>
    <definedName name="Mutatiederdekwartaal_2_3_2" localSheetId="2" hidden="1">{"'ma_vr'!$A$1:$AA$42"}</definedName>
    <definedName name="Mutatiederdekwartaal_2_3_2" hidden="1">{"'ma_vr'!$A$1:$AA$42"}</definedName>
    <definedName name="Mutatiederdekwartaal_2_3_3" localSheetId="2" hidden="1">{"'ma_vr'!$A$1:$AA$42"}</definedName>
    <definedName name="Mutatiederdekwartaal_2_3_3" hidden="1">{"'ma_vr'!$A$1:$AA$42"}</definedName>
    <definedName name="Mutatiederdekwartaal_2_3_4" localSheetId="2" hidden="1">{"'ma_vr'!$A$1:$AA$42"}</definedName>
    <definedName name="Mutatiederdekwartaal_2_3_4" hidden="1">{"'ma_vr'!$A$1:$AA$42"}</definedName>
    <definedName name="Mutatiederdekwartaal_2_4" localSheetId="2" hidden="1">{"'ma_vr'!$A$1:$AA$42"}</definedName>
    <definedName name="Mutatiederdekwartaal_2_4" hidden="1">{"'ma_vr'!$A$1:$AA$42"}</definedName>
    <definedName name="Mutatiederdekwartaal_2_4_1" localSheetId="2" hidden="1">{"'ma_vr'!$A$1:$AA$42"}</definedName>
    <definedName name="Mutatiederdekwartaal_2_4_1" hidden="1">{"'ma_vr'!$A$1:$AA$42"}</definedName>
    <definedName name="Mutatiederdekwartaal_2_4_1_1" localSheetId="2" hidden="1">{"'ma_vr'!$A$1:$AA$42"}</definedName>
    <definedName name="Mutatiederdekwartaal_2_4_1_1" hidden="1">{"'ma_vr'!$A$1:$AA$42"}</definedName>
    <definedName name="Mutatiederdekwartaal_2_4_1_2" localSheetId="2" hidden="1">{"'ma_vr'!$A$1:$AA$42"}</definedName>
    <definedName name="Mutatiederdekwartaal_2_4_1_2" hidden="1">{"'ma_vr'!$A$1:$AA$42"}</definedName>
    <definedName name="Mutatiederdekwartaal_2_4_1_3" localSheetId="2" hidden="1">{"'ma_vr'!$A$1:$AA$42"}</definedName>
    <definedName name="Mutatiederdekwartaal_2_4_1_3" hidden="1">{"'ma_vr'!$A$1:$AA$42"}</definedName>
    <definedName name="Mutatiederdekwartaal_2_4_1_4" localSheetId="2" hidden="1">{"'ma_vr'!$A$1:$AA$42"}</definedName>
    <definedName name="Mutatiederdekwartaal_2_4_1_4" hidden="1">{"'ma_vr'!$A$1:$AA$42"}</definedName>
    <definedName name="Mutatiederdekwartaal_2_4_2" localSheetId="2" hidden="1">{"'ma_vr'!$A$1:$AA$42"}</definedName>
    <definedName name="Mutatiederdekwartaal_2_4_2" hidden="1">{"'ma_vr'!$A$1:$AA$42"}</definedName>
    <definedName name="Mutatiederdekwartaal_2_4_3" localSheetId="2" hidden="1">{"'ma_vr'!$A$1:$AA$42"}</definedName>
    <definedName name="Mutatiederdekwartaal_2_4_3" hidden="1">{"'ma_vr'!$A$1:$AA$42"}</definedName>
    <definedName name="Mutatiederdekwartaal_2_4_4" localSheetId="2" hidden="1">{"'ma_vr'!$A$1:$AA$42"}</definedName>
    <definedName name="Mutatiederdekwartaal_2_4_4" hidden="1">{"'ma_vr'!$A$1:$AA$42"}</definedName>
    <definedName name="Mutatiederdekwartaal_2_5" localSheetId="2" hidden="1">{"'ma_vr'!$A$1:$AA$42"}</definedName>
    <definedName name="Mutatiederdekwartaal_2_5" hidden="1">{"'ma_vr'!$A$1:$AA$42"}</definedName>
    <definedName name="Mutatiederdekwartaal_2_5_1" localSheetId="2" hidden="1">{"'ma_vr'!$A$1:$AA$42"}</definedName>
    <definedName name="Mutatiederdekwartaal_2_5_1" hidden="1">{"'ma_vr'!$A$1:$AA$42"}</definedName>
    <definedName name="Mutatiederdekwartaal_2_5_1_1" localSheetId="2" hidden="1">{"'ma_vr'!$A$1:$AA$42"}</definedName>
    <definedName name="Mutatiederdekwartaal_2_5_1_1" hidden="1">{"'ma_vr'!$A$1:$AA$42"}</definedName>
    <definedName name="Mutatiederdekwartaal_2_5_1_2" localSheetId="2" hidden="1">{"'ma_vr'!$A$1:$AA$42"}</definedName>
    <definedName name="Mutatiederdekwartaal_2_5_1_2" hidden="1">{"'ma_vr'!$A$1:$AA$42"}</definedName>
    <definedName name="Mutatiederdekwartaal_2_5_1_3" localSheetId="2" hidden="1">{"'ma_vr'!$A$1:$AA$42"}</definedName>
    <definedName name="Mutatiederdekwartaal_2_5_1_3" hidden="1">{"'ma_vr'!$A$1:$AA$42"}</definedName>
    <definedName name="Mutatiederdekwartaal_2_5_1_4" localSheetId="2" hidden="1">{"'ma_vr'!$A$1:$AA$42"}</definedName>
    <definedName name="Mutatiederdekwartaal_2_5_1_4" hidden="1">{"'ma_vr'!$A$1:$AA$42"}</definedName>
    <definedName name="Mutatiederdekwartaal_2_5_2" localSheetId="2" hidden="1">{"'ma_vr'!$A$1:$AA$42"}</definedName>
    <definedName name="Mutatiederdekwartaal_2_5_2" hidden="1">{"'ma_vr'!$A$1:$AA$42"}</definedName>
    <definedName name="Mutatiederdekwartaal_2_5_3" localSheetId="2" hidden="1">{"'ma_vr'!$A$1:$AA$42"}</definedName>
    <definedName name="Mutatiederdekwartaal_2_5_3" hidden="1">{"'ma_vr'!$A$1:$AA$42"}</definedName>
    <definedName name="Mutatiederdekwartaal_2_5_4" localSheetId="2" hidden="1">{"'ma_vr'!$A$1:$AA$42"}</definedName>
    <definedName name="Mutatiederdekwartaal_2_5_4" hidden="1">{"'ma_vr'!$A$1:$AA$42"}</definedName>
    <definedName name="Mutatiederdekwartaal_3" localSheetId="2" hidden="1">{"'ma_vr'!$A$1:$AA$42"}</definedName>
    <definedName name="Mutatiederdekwartaal_3" hidden="1">{"'ma_vr'!$A$1:$AA$42"}</definedName>
    <definedName name="Mutatiederdekwartaal_3_1" localSheetId="2" hidden="1">{"'ma_vr'!$A$1:$AA$42"}</definedName>
    <definedName name="Mutatiederdekwartaal_3_1" hidden="1">{"'ma_vr'!$A$1:$AA$42"}</definedName>
    <definedName name="Mutatiederdekwartaal_3_1_1" localSheetId="2" hidden="1">{"'ma_vr'!$A$1:$AA$42"}</definedName>
    <definedName name="Mutatiederdekwartaal_3_1_1" hidden="1">{"'ma_vr'!$A$1:$AA$42"}</definedName>
    <definedName name="Mutatiederdekwartaal_3_1_2" localSheetId="2" hidden="1">{"'ma_vr'!$A$1:$AA$42"}</definedName>
    <definedName name="Mutatiederdekwartaal_3_1_2" hidden="1">{"'ma_vr'!$A$1:$AA$42"}</definedName>
    <definedName name="Mutatiederdekwartaal_3_1_3" localSheetId="2" hidden="1">{"'ma_vr'!$A$1:$AA$42"}</definedName>
    <definedName name="Mutatiederdekwartaal_3_1_3" hidden="1">{"'ma_vr'!$A$1:$AA$42"}</definedName>
    <definedName name="Mutatiederdekwartaal_3_1_4" localSheetId="2" hidden="1">{"'ma_vr'!$A$1:$AA$42"}</definedName>
    <definedName name="Mutatiederdekwartaal_3_1_4" hidden="1">{"'ma_vr'!$A$1:$AA$42"}</definedName>
    <definedName name="Mutatiederdekwartaal_3_2" localSheetId="2" hidden="1">{"'ma_vr'!$A$1:$AA$42"}</definedName>
    <definedName name="Mutatiederdekwartaal_3_2" hidden="1">{"'ma_vr'!$A$1:$AA$42"}</definedName>
    <definedName name="Mutatiederdekwartaal_3_3" localSheetId="2" hidden="1">{"'ma_vr'!$A$1:$AA$42"}</definedName>
    <definedName name="Mutatiederdekwartaal_3_3" hidden="1">{"'ma_vr'!$A$1:$AA$42"}</definedName>
    <definedName name="Mutatiederdekwartaal_3_4" localSheetId="2" hidden="1">{"'ma_vr'!$A$1:$AA$42"}</definedName>
    <definedName name="Mutatiederdekwartaal_3_4" hidden="1">{"'ma_vr'!$A$1:$AA$42"}</definedName>
    <definedName name="Mutatiederdekwartaal_4" localSheetId="2" hidden="1">{"'ma_vr'!$A$1:$AA$42"}</definedName>
    <definedName name="Mutatiederdekwartaal_4" hidden="1">{"'ma_vr'!$A$1:$AA$42"}</definedName>
    <definedName name="Mutatiederdekwartaal_4_1" localSheetId="2" hidden="1">{"'ma_vr'!$A$1:$AA$42"}</definedName>
    <definedName name="Mutatiederdekwartaal_4_1" hidden="1">{"'ma_vr'!$A$1:$AA$42"}</definedName>
    <definedName name="Mutatiederdekwartaal_4_1_1" localSheetId="2" hidden="1">{"'ma_vr'!$A$1:$AA$42"}</definedName>
    <definedName name="Mutatiederdekwartaal_4_1_1" hidden="1">{"'ma_vr'!$A$1:$AA$42"}</definedName>
    <definedName name="Mutatiederdekwartaal_4_1_2" localSheetId="2" hidden="1">{"'ma_vr'!$A$1:$AA$42"}</definedName>
    <definedName name="Mutatiederdekwartaal_4_1_2" hidden="1">{"'ma_vr'!$A$1:$AA$42"}</definedName>
    <definedName name="Mutatiederdekwartaal_4_1_3" localSheetId="2" hidden="1">{"'ma_vr'!$A$1:$AA$42"}</definedName>
    <definedName name="Mutatiederdekwartaal_4_1_3" hidden="1">{"'ma_vr'!$A$1:$AA$42"}</definedName>
    <definedName name="Mutatiederdekwartaal_4_1_4" localSheetId="2" hidden="1">{"'ma_vr'!$A$1:$AA$42"}</definedName>
    <definedName name="Mutatiederdekwartaal_4_1_4" hidden="1">{"'ma_vr'!$A$1:$AA$42"}</definedName>
    <definedName name="Mutatiederdekwartaal_4_2" localSheetId="2" hidden="1">{"'ma_vr'!$A$1:$AA$42"}</definedName>
    <definedName name="Mutatiederdekwartaal_4_2" hidden="1">{"'ma_vr'!$A$1:$AA$42"}</definedName>
    <definedName name="Mutatiederdekwartaal_4_3" localSheetId="2" hidden="1">{"'ma_vr'!$A$1:$AA$42"}</definedName>
    <definedName name="Mutatiederdekwartaal_4_3" hidden="1">{"'ma_vr'!$A$1:$AA$42"}</definedName>
    <definedName name="Mutatiederdekwartaal_4_4" localSheetId="2" hidden="1">{"'ma_vr'!$A$1:$AA$42"}</definedName>
    <definedName name="Mutatiederdekwartaal_4_4" hidden="1">{"'ma_vr'!$A$1:$AA$42"}</definedName>
    <definedName name="Mutatiederdekwartaal_5" localSheetId="2" hidden="1">{"'ma_vr'!$A$1:$AA$42"}</definedName>
    <definedName name="Mutatiederdekwartaal_5" hidden="1">{"'ma_vr'!$A$1:$AA$42"}</definedName>
    <definedName name="Mutatiederdekwartaal_5_1" localSheetId="2" hidden="1">{"'ma_vr'!$A$1:$AA$42"}</definedName>
    <definedName name="Mutatiederdekwartaal_5_1" hidden="1">{"'ma_vr'!$A$1:$AA$42"}</definedName>
    <definedName name="Mutatiederdekwartaal_5_1_1" localSheetId="2" hidden="1">{"'ma_vr'!$A$1:$AA$42"}</definedName>
    <definedName name="Mutatiederdekwartaal_5_1_1" hidden="1">{"'ma_vr'!$A$1:$AA$42"}</definedName>
    <definedName name="Mutatiederdekwartaal_5_1_2" localSheetId="2" hidden="1">{"'ma_vr'!$A$1:$AA$42"}</definedName>
    <definedName name="Mutatiederdekwartaal_5_1_2" hidden="1">{"'ma_vr'!$A$1:$AA$42"}</definedName>
    <definedName name="Mutatiederdekwartaal_5_1_3" localSheetId="2" hidden="1">{"'ma_vr'!$A$1:$AA$42"}</definedName>
    <definedName name="Mutatiederdekwartaal_5_1_3" hidden="1">{"'ma_vr'!$A$1:$AA$42"}</definedName>
    <definedName name="Mutatiederdekwartaal_5_1_4" localSheetId="2" hidden="1">{"'ma_vr'!$A$1:$AA$42"}</definedName>
    <definedName name="Mutatiederdekwartaal_5_1_4" hidden="1">{"'ma_vr'!$A$1:$AA$42"}</definedName>
    <definedName name="Mutatiederdekwartaal_5_2" localSheetId="2" hidden="1">{"'ma_vr'!$A$1:$AA$42"}</definedName>
    <definedName name="Mutatiederdekwartaal_5_2" hidden="1">{"'ma_vr'!$A$1:$AA$42"}</definedName>
    <definedName name="Mutatiederdekwartaal_5_3" localSheetId="2" hidden="1">{"'ma_vr'!$A$1:$AA$42"}</definedName>
    <definedName name="Mutatiederdekwartaal_5_3" hidden="1">{"'ma_vr'!$A$1:$AA$42"}</definedName>
    <definedName name="Mutatiederdekwartaal_5_4" localSheetId="2" hidden="1">{"'ma_vr'!$A$1:$AA$42"}</definedName>
    <definedName name="Mutatiederdekwartaal_5_4" hidden="1">{"'ma_vr'!$A$1:$AA$42"}</definedName>
    <definedName name="NvB" hidden="1">#REF!</definedName>
    <definedName name="uren_mavr">'3-Basis ruimtestaat'!$L:$L</definedName>
    <definedName name="uren_naloop">'3-Basis ruimtestaat'!$M:$M</definedName>
    <definedName name="uren_naloopzazofe">'3-Basis ruimtestaat'!$O:$O</definedName>
    <definedName name="uren_zazofe">'3-Basis ruimtestaat'!$N:$N</definedName>
  </definedNames>
  <calcPr calcId="191028"/>
  <pivotCaches>
    <pivotCache cacheId="0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37" roundtripDataSignature="AMtx7mgMA64Z9KqadXjo7VUOb+LR7kir4g=="/>
    </ext>
  </extLst>
</workbook>
</file>

<file path=xl/calcChain.xml><?xml version="1.0" encoding="utf-8"?>
<calcChain xmlns="http://schemas.openxmlformats.org/spreadsheetml/2006/main">
  <c r="A40" i="14" l="1"/>
  <c r="C34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B31" i="14" s="1"/>
  <c r="C31" i="14" s="1"/>
  <c r="A6" i="14"/>
  <c r="G30" i="14"/>
  <c r="J30" i="14" s="1"/>
  <c r="F30" i="14"/>
  <c r="I30" i="14" s="1"/>
  <c r="B30" i="14"/>
  <c r="C30" i="14" s="1"/>
  <c r="G29" i="14"/>
  <c r="J29" i="14" s="1"/>
  <c r="F29" i="14"/>
  <c r="I29" i="14" s="1"/>
  <c r="B29" i="14"/>
  <c r="C29" i="14" s="1"/>
  <c r="G28" i="14"/>
  <c r="J28" i="14" s="1"/>
  <c r="F28" i="14"/>
  <c r="I28" i="14" s="1"/>
  <c r="B28" i="14"/>
  <c r="C28" i="14" s="1"/>
  <c r="G27" i="14"/>
  <c r="J27" i="14" s="1"/>
  <c r="F27" i="14"/>
  <c r="I27" i="14" s="1"/>
  <c r="B27" i="14"/>
  <c r="C27" i="14" s="1"/>
  <c r="G26" i="14"/>
  <c r="J26" i="14" s="1"/>
  <c r="F26" i="14"/>
  <c r="I26" i="14" s="1"/>
  <c r="B26" i="14"/>
  <c r="C26" i="14" s="1"/>
  <c r="G25" i="14"/>
  <c r="J25" i="14" s="1"/>
  <c r="F25" i="14"/>
  <c r="H25" i="14" s="1"/>
  <c r="B25" i="14"/>
  <c r="C25" i="14" s="1"/>
  <c r="G24" i="14"/>
  <c r="J24" i="14" s="1"/>
  <c r="F24" i="14"/>
  <c r="I24" i="14" s="1"/>
  <c r="B24" i="14"/>
  <c r="C24" i="14" s="1"/>
  <c r="B7" i="14"/>
  <c r="C7" i="14" s="1"/>
  <c r="B8" i="14"/>
  <c r="C8" i="14" s="1"/>
  <c r="B9" i="14"/>
  <c r="C9" i="14" s="1"/>
  <c r="B10" i="14"/>
  <c r="C10" i="14" s="1"/>
  <c r="B11" i="14"/>
  <c r="C11" i="14" s="1"/>
  <c r="B12" i="14"/>
  <c r="C12" i="14" s="1"/>
  <c r="B13" i="14"/>
  <c r="C13" i="14" s="1"/>
  <c r="B14" i="14"/>
  <c r="C14" i="14" s="1"/>
  <c r="B15" i="14"/>
  <c r="C15" i="14" s="1"/>
  <c r="B16" i="14"/>
  <c r="C16" i="14" s="1"/>
  <c r="B17" i="14"/>
  <c r="C17" i="14" s="1"/>
  <c r="B18" i="14"/>
  <c r="C18" i="14" s="1"/>
  <c r="B19" i="14"/>
  <c r="C19" i="14" s="1"/>
  <c r="B20" i="14"/>
  <c r="C20" i="14" s="1"/>
  <c r="B21" i="14"/>
  <c r="C21" i="14" s="1"/>
  <c r="B22" i="14"/>
  <c r="C22" i="14" s="1"/>
  <c r="B23" i="14"/>
  <c r="C23" i="14" s="1"/>
  <c r="AF433" i="4"/>
  <c r="AE433" i="4"/>
  <c r="T433" i="4"/>
  <c r="S433" i="4"/>
  <c r="O433" i="4" s="1"/>
  <c r="R433" i="4"/>
  <c r="N433" i="4" s="1"/>
  <c r="Q433" i="4"/>
  <c r="M433" i="4" s="1"/>
  <c r="K433" i="4"/>
  <c r="Z433" i="4" s="1"/>
  <c r="AF432" i="4"/>
  <c r="AE432" i="4"/>
  <c r="T432" i="4"/>
  <c r="S432" i="4"/>
  <c r="O432" i="4" s="1"/>
  <c r="R432" i="4"/>
  <c r="N432" i="4" s="1"/>
  <c r="Q432" i="4"/>
  <c r="M432" i="4" s="1"/>
  <c r="K432" i="4"/>
  <c r="Z432" i="4" s="1"/>
  <c r="AF431" i="4"/>
  <c r="AE431" i="4"/>
  <c r="T431" i="4"/>
  <c r="S431" i="4"/>
  <c r="O431" i="4" s="1"/>
  <c r="R431" i="4"/>
  <c r="N431" i="4" s="1"/>
  <c r="Q431" i="4"/>
  <c r="M431" i="4" s="1"/>
  <c r="K431" i="4"/>
  <c r="Z431" i="4" s="1"/>
  <c r="AF430" i="4"/>
  <c r="AE430" i="4"/>
  <c r="T430" i="4"/>
  <c r="S430" i="4"/>
  <c r="O430" i="4" s="1"/>
  <c r="R430" i="4"/>
  <c r="N430" i="4" s="1"/>
  <c r="Q430" i="4"/>
  <c r="M430" i="4" s="1"/>
  <c r="K430" i="4"/>
  <c r="Z430" i="4" s="1"/>
  <c r="AF429" i="4"/>
  <c r="AE429" i="4"/>
  <c r="T429" i="4"/>
  <c r="S429" i="4"/>
  <c r="O429" i="4" s="1"/>
  <c r="R429" i="4"/>
  <c r="N429" i="4" s="1"/>
  <c r="Q429" i="4"/>
  <c r="M429" i="4" s="1"/>
  <c r="K429" i="4"/>
  <c r="Z429" i="4" s="1"/>
  <c r="F31" i="14" l="1"/>
  <c r="I31" i="14" s="1"/>
  <c r="G31" i="14"/>
  <c r="J31" i="14" s="1"/>
  <c r="H29" i="14"/>
  <c r="I25" i="14"/>
  <c r="H26" i="14"/>
  <c r="H30" i="14"/>
  <c r="H27" i="14"/>
  <c r="H24" i="14"/>
  <c r="H28" i="14"/>
  <c r="AF232" i="4"/>
  <c r="AE232" i="4"/>
  <c r="T232" i="4"/>
  <c r="S232" i="4"/>
  <c r="O232" i="4" s="1"/>
  <c r="R232" i="4"/>
  <c r="N232" i="4" s="1"/>
  <c r="Q232" i="4"/>
  <c r="M232" i="4" s="1"/>
  <c r="K232" i="4"/>
  <c r="Z232" i="4" s="1"/>
  <c r="AF231" i="4"/>
  <c r="AE231" i="4"/>
  <c r="T231" i="4"/>
  <c r="S231" i="4"/>
  <c r="O231" i="4" s="1"/>
  <c r="R231" i="4"/>
  <c r="N231" i="4" s="1"/>
  <c r="Q231" i="4"/>
  <c r="M231" i="4" s="1"/>
  <c r="K231" i="4"/>
  <c r="Z231" i="4" s="1"/>
  <c r="AF230" i="4"/>
  <c r="AE230" i="4"/>
  <c r="T230" i="4"/>
  <c r="S230" i="4"/>
  <c r="O230" i="4" s="1"/>
  <c r="R230" i="4"/>
  <c r="N230" i="4" s="1"/>
  <c r="Q230" i="4"/>
  <c r="M230" i="4" s="1"/>
  <c r="K230" i="4"/>
  <c r="Z230" i="4" s="1"/>
  <c r="AF229" i="4"/>
  <c r="AE229" i="4"/>
  <c r="T229" i="4"/>
  <c r="S229" i="4"/>
  <c r="O229" i="4" s="1"/>
  <c r="R229" i="4"/>
  <c r="N229" i="4" s="1"/>
  <c r="Q229" i="4"/>
  <c r="M229" i="4" s="1"/>
  <c r="K229" i="4"/>
  <c r="Z229" i="4" s="1"/>
  <c r="AF228" i="4"/>
  <c r="AE228" i="4"/>
  <c r="T228" i="4"/>
  <c r="S228" i="4"/>
  <c r="O228" i="4" s="1"/>
  <c r="R228" i="4"/>
  <c r="N228" i="4" s="1"/>
  <c r="Q228" i="4"/>
  <c r="M228" i="4" s="1"/>
  <c r="K228" i="4"/>
  <c r="Z228" i="4" s="1"/>
  <c r="AF227" i="4"/>
  <c r="AE227" i="4"/>
  <c r="T227" i="4"/>
  <c r="S227" i="4"/>
  <c r="O227" i="4" s="1"/>
  <c r="R227" i="4"/>
  <c r="N227" i="4" s="1"/>
  <c r="Q227" i="4"/>
  <c r="M227" i="4" s="1"/>
  <c r="K227" i="4"/>
  <c r="Z227" i="4" s="1"/>
  <c r="AF226" i="4"/>
  <c r="AE226" i="4"/>
  <c r="T226" i="4"/>
  <c r="S226" i="4"/>
  <c r="O226" i="4" s="1"/>
  <c r="R226" i="4"/>
  <c r="N226" i="4" s="1"/>
  <c r="Q226" i="4"/>
  <c r="M226" i="4" s="1"/>
  <c r="K226" i="4"/>
  <c r="Z226" i="4" s="1"/>
  <c r="AF225" i="4"/>
  <c r="AE225" i="4"/>
  <c r="T225" i="4"/>
  <c r="S225" i="4"/>
  <c r="O225" i="4" s="1"/>
  <c r="R225" i="4"/>
  <c r="N225" i="4" s="1"/>
  <c r="Q225" i="4"/>
  <c r="M225" i="4" s="1"/>
  <c r="K225" i="4"/>
  <c r="Z225" i="4" s="1"/>
  <c r="AF224" i="4"/>
  <c r="AE224" i="4"/>
  <c r="T224" i="4"/>
  <c r="S224" i="4"/>
  <c r="O224" i="4" s="1"/>
  <c r="R224" i="4"/>
  <c r="N224" i="4" s="1"/>
  <c r="Q224" i="4"/>
  <c r="M224" i="4" s="1"/>
  <c r="K224" i="4"/>
  <c r="Z224" i="4" s="1"/>
  <c r="AF223" i="4"/>
  <c r="AE223" i="4"/>
  <c r="T223" i="4"/>
  <c r="S223" i="4"/>
  <c r="O223" i="4" s="1"/>
  <c r="R223" i="4"/>
  <c r="N223" i="4" s="1"/>
  <c r="Q223" i="4"/>
  <c r="M223" i="4" s="1"/>
  <c r="K223" i="4"/>
  <c r="Z223" i="4" s="1"/>
  <c r="AF222" i="4"/>
  <c r="AE222" i="4"/>
  <c r="T222" i="4"/>
  <c r="S222" i="4"/>
  <c r="O222" i="4" s="1"/>
  <c r="R222" i="4"/>
  <c r="N222" i="4" s="1"/>
  <c r="Q222" i="4"/>
  <c r="M222" i="4" s="1"/>
  <c r="K222" i="4"/>
  <c r="Z222" i="4" s="1"/>
  <c r="AF221" i="4"/>
  <c r="AE221" i="4"/>
  <c r="T221" i="4"/>
  <c r="S221" i="4"/>
  <c r="O221" i="4" s="1"/>
  <c r="R221" i="4"/>
  <c r="N221" i="4" s="1"/>
  <c r="Q221" i="4"/>
  <c r="M221" i="4" s="1"/>
  <c r="K221" i="4"/>
  <c r="Z221" i="4" s="1"/>
  <c r="AF220" i="4"/>
  <c r="AE220" i="4"/>
  <c r="T220" i="4"/>
  <c r="S220" i="4"/>
  <c r="O220" i="4" s="1"/>
  <c r="R220" i="4"/>
  <c r="N220" i="4" s="1"/>
  <c r="Q220" i="4"/>
  <c r="M220" i="4" s="1"/>
  <c r="K220" i="4"/>
  <c r="Z220" i="4" s="1"/>
  <c r="AF219" i="4"/>
  <c r="AE219" i="4"/>
  <c r="T219" i="4"/>
  <c r="S219" i="4"/>
  <c r="O219" i="4" s="1"/>
  <c r="R219" i="4"/>
  <c r="N219" i="4" s="1"/>
  <c r="Q219" i="4"/>
  <c r="M219" i="4" s="1"/>
  <c r="K219" i="4"/>
  <c r="Z219" i="4" s="1"/>
  <c r="AF209" i="4"/>
  <c r="AE209" i="4"/>
  <c r="T209" i="4"/>
  <c r="S209" i="4"/>
  <c r="O209" i="4" s="1"/>
  <c r="R209" i="4"/>
  <c r="N209" i="4" s="1"/>
  <c r="Q209" i="4"/>
  <c r="M209" i="4" s="1"/>
  <c r="K209" i="4"/>
  <c r="Z209" i="4" s="1"/>
  <c r="AF208" i="4"/>
  <c r="AE208" i="4"/>
  <c r="T208" i="4"/>
  <c r="S208" i="4"/>
  <c r="O208" i="4" s="1"/>
  <c r="R208" i="4"/>
  <c r="N208" i="4" s="1"/>
  <c r="Q208" i="4"/>
  <c r="M208" i="4" s="1"/>
  <c r="K208" i="4"/>
  <c r="Z208" i="4" s="1"/>
  <c r="AF207" i="4"/>
  <c r="AE207" i="4"/>
  <c r="T207" i="4"/>
  <c r="S207" i="4"/>
  <c r="O207" i="4" s="1"/>
  <c r="R207" i="4"/>
  <c r="N207" i="4" s="1"/>
  <c r="Q207" i="4"/>
  <c r="M207" i="4" s="1"/>
  <c r="K207" i="4"/>
  <c r="Z207" i="4" s="1"/>
  <c r="AF206" i="4"/>
  <c r="AE206" i="4"/>
  <c r="T206" i="4"/>
  <c r="S206" i="4"/>
  <c r="O206" i="4" s="1"/>
  <c r="R206" i="4"/>
  <c r="N206" i="4" s="1"/>
  <c r="Q206" i="4"/>
  <c r="M206" i="4" s="1"/>
  <c r="K206" i="4"/>
  <c r="Z206" i="4" s="1"/>
  <c r="AF205" i="4"/>
  <c r="AE205" i="4"/>
  <c r="T205" i="4"/>
  <c r="S205" i="4"/>
  <c r="O205" i="4" s="1"/>
  <c r="R205" i="4"/>
  <c r="N205" i="4" s="1"/>
  <c r="Q205" i="4"/>
  <c r="M205" i="4" s="1"/>
  <c r="K205" i="4"/>
  <c r="Z205" i="4" s="1"/>
  <c r="AF203" i="4"/>
  <c r="AE203" i="4"/>
  <c r="T203" i="4"/>
  <c r="S203" i="4"/>
  <c r="O203" i="4" s="1"/>
  <c r="R203" i="4"/>
  <c r="N203" i="4" s="1"/>
  <c r="Q203" i="4"/>
  <c r="M203" i="4" s="1"/>
  <c r="K203" i="4"/>
  <c r="Z203" i="4" s="1"/>
  <c r="AF204" i="4"/>
  <c r="AE204" i="4"/>
  <c r="T204" i="4"/>
  <c r="S204" i="4"/>
  <c r="O204" i="4" s="1"/>
  <c r="R204" i="4"/>
  <c r="N204" i="4" s="1"/>
  <c r="Q204" i="4"/>
  <c r="M204" i="4" s="1"/>
  <c r="K204" i="4"/>
  <c r="Z204" i="4" s="1"/>
  <c r="AF199" i="4"/>
  <c r="AE199" i="4"/>
  <c r="T199" i="4"/>
  <c r="S199" i="4"/>
  <c r="O199" i="4" s="1"/>
  <c r="R199" i="4"/>
  <c r="N199" i="4" s="1"/>
  <c r="Q199" i="4"/>
  <c r="M199" i="4" s="1"/>
  <c r="K199" i="4"/>
  <c r="Z199" i="4" s="1"/>
  <c r="AF200" i="4"/>
  <c r="AE200" i="4"/>
  <c r="T200" i="4"/>
  <c r="S200" i="4"/>
  <c r="O200" i="4" s="1"/>
  <c r="R200" i="4"/>
  <c r="N200" i="4" s="1"/>
  <c r="Q200" i="4"/>
  <c r="M200" i="4" s="1"/>
  <c r="K200" i="4"/>
  <c r="Z200" i="4" s="1"/>
  <c r="AF201" i="4"/>
  <c r="AE201" i="4"/>
  <c r="T201" i="4"/>
  <c r="S201" i="4"/>
  <c r="O201" i="4" s="1"/>
  <c r="R201" i="4"/>
  <c r="N201" i="4" s="1"/>
  <c r="Q201" i="4"/>
  <c r="M201" i="4" s="1"/>
  <c r="K201" i="4"/>
  <c r="Z201" i="4" s="1"/>
  <c r="AF202" i="4"/>
  <c r="AE202" i="4"/>
  <c r="T202" i="4"/>
  <c r="S202" i="4"/>
  <c r="O202" i="4" s="1"/>
  <c r="R202" i="4"/>
  <c r="N202" i="4" s="1"/>
  <c r="Q202" i="4"/>
  <c r="M202" i="4" s="1"/>
  <c r="K202" i="4"/>
  <c r="Z202" i="4" s="1"/>
  <c r="AF172" i="4"/>
  <c r="AE172" i="4"/>
  <c r="T172" i="4"/>
  <c r="S172" i="4"/>
  <c r="O172" i="4" s="1"/>
  <c r="R172" i="4"/>
  <c r="N172" i="4" s="1"/>
  <c r="Q172" i="4"/>
  <c r="M172" i="4" s="1"/>
  <c r="K172" i="4"/>
  <c r="Z172" i="4" s="1"/>
  <c r="AF173" i="4"/>
  <c r="AE173" i="4"/>
  <c r="T173" i="4"/>
  <c r="S173" i="4"/>
  <c r="O173" i="4" s="1"/>
  <c r="R173" i="4"/>
  <c r="N173" i="4" s="1"/>
  <c r="Q173" i="4"/>
  <c r="M173" i="4" s="1"/>
  <c r="K173" i="4"/>
  <c r="Z173" i="4" s="1"/>
  <c r="AF171" i="4"/>
  <c r="AE171" i="4"/>
  <c r="T171" i="4"/>
  <c r="S171" i="4"/>
  <c r="O171" i="4" s="1"/>
  <c r="R171" i="4"/>
  <c r="N171" i="4" s="1"/>
  <c r="Q171" i="4"/>
  <c r="M171" i="4" s="1"/>
  <c r="K171" i="4"/>
  <c r="Z171" i="4" s="1"/>
  <c r="AF183" i="4"/>
  <c r="AE183" i="4"/>
  <c r="T183" i="4"/>
  <c r="S183" i="4"/>
  <c r="O183" i="4" s="1"/>
  <c r="R183" i="4"/>
  <c r="N183" i="4" s="1"/>
  <c r="Q183" i="4"/>
  <c r="M183" i="4" s="1"/>
  <c r="K183" i="4"/>
  <c r="Z183" i="4" s="1"/>
  <c r="AF182" i="4"/>
  <c r="AE182" i="4"/>
  <c r="T182" i="4"/>
  <c r="S182" i="4"/>
  <c r="O182" i="4" s="1"/>
  <c r="R182" i="4"/>
  <c r="N182" i="4" s="1"/>
  <c r="Q182" i="4"/>
  <c r="M182" i="4" s="1"/>
  <c r="K182" i="4"/>
  <c r="Z182" i="4" s="1"/>
  <c r="AF181" i="4"/>
  <c r="AE181" i="4"/>
  <c r="T181" i="4"/>
  <c r="S181" i="4"/>
  <c r="O181" i="4" s="1"/>
  <c r="R181" i="4"/>
  <c r="N181" i="4" s="1"/>
  <c r="Q181" i="4"/>
  <c r="M181" i="4" s="1"/>
  <c r="K181" i="4"/>
  <c r="Z181" i="4" s="1"/>
  <c r="AF180" i="4"/>
  <c r="AE180" i="4"/>
  <c r="T180" i="4"/>
  <c r="S180" i="4"/>
  <c r="O180" i="4" s="1"/>
  <c r="R180" i="4"/>
  <c r="N180" i="4" s="1"/>
  <c r="Q180" i="4"/>
  <c r="M180" i="4" s="1"/>
  <c r="K180" i="4"/>
  <c r="Z180" i="4" s="1"/>
  <c r="AF179" i="4"/>
  <c r="AE179" i="4"/>
  <c r="T179" i="4"/>
  <c r="S179" i="4"/>
  <c r="O179" i="4" s="1"/>
  <c r="R179" i="4"/>
  <c r="N179" i="4" s="1"/>
  <c r="Q179" i="4"/>
  <c r="M179" i="4" s="1"/>
  <c r="K179" i="4"/>
  <c r="Z179" i="4" s="1"/>
  <c r="AF178" i="4"/>
  <c r="AE178" i="4"/>
  <c r="T178" i="4"/>
  <c r="S178" i="4"/>
  <c r="O178" i="4" s="1"/>
  <c r="R178" i="4"/>
  <c r="N178" i="4" s="1"/>
  <c r="Q178" i="4"/>
  <c r="M178" i="4" s="1"/>
  <c r="K178" i="4"/>
  <c r="Z178" i="4" s="1"/>
  <c r="AF177" i="4"/>
  <c r="AE177" i="4"/>
  <c r="T177" i="4"/>
  <c r="S177" i="4"/>
  <c r="O177" i="4" s="1"/>
  <c r="R177" i="4"/>
  <c r="N177" i="4" s="1"/>
  <c r="Q177" i="4"/>
  <c r="M177" i="4" s="1"/>
  <c r="K177" i="4"/>
  <c r="Z177" i="4" s="1"/>
  <c r="AF176" i="4"/>
  <c r="AE176" i="4"/>
  <c r="T176" i="4"/>
  <c r="S176" i="4"/>
  <c r="O176" i="4" s="1"/>
  <c r="R176" i="4"/>
  <c r="N176" i="4" s="1"/>
  <c r="Q176" i="4"/>
  <c r="M176" i="4" s="1"/>
  <c r="K176" i="4"/>
  <c r="Z176" i="4" s="1"/>
  <c r="AF175" i="4"/>
  <c r="AE175" i="4"/>
  <c r="T175" i="4"/>
  <c r="S175" i="4"/>
  <c r="O175" i="4" s="1"/>
  <c r="R175" i="4"/>
  <c r="N175" i="4" s="1"/>
  <c r="Q175" i="4"/>
  <c r="M175" i="4" s="1"/>
  <c r="K175" i="4"/>
  <c r="Z175" i="4" s="1"/>
  <c r="AF174" i="4"/>
  <c r="AE174" i="4"/>
  <c r="T174" i="4"/>
  <c r="S174" i="4"/>
  <c r="O174" i="4" s="1"/>
  <c r="R174" i="4"/>
  <c r="N174" i="4" s="1"/>
  <c r="Q174" i="4"/>
  <c r="M174" i="4" s="1"/>
  <c r="K174" i="4"/>
  <c r="Z174" i="4" s="1"/>
  <c r="AF170" i="4"/>
  <c r="AE170" i="4"/>
  <c r="T170" i="4"/>
  <c r="S170" i="4"/>
  <c r="O170" i="4" s="1"/>
  <c r="R170" i="4"/>
  <c r="N170" i="4" s="1"/>
  <c r="Q170" i="4"/>
  <c r="M170" i="4" s="1"/>
  <c r="K170" i="4"/>
  <c r="Z170" i="4" s="1"/>
  <c r="K169" i="4"/>
  <c r="Z169" i="4" s="1"/>
  <c r="Q169" i="4"/>
  <c r="M169" i="4" s="1"/>
  <c r="R169" i="4"/>
  <c r="N169" i="4" s="1"/>
  <c r="S169" i="4"/>
  <c r="O169" i="4" s="1"/>
  <c r="T169" i="4"/>
  <c r="AE169" i="4"/>
  <c r="AF169" i="4"/>
  <c r="AF148" i="4"/>
  <c r="AE148" i="4"/>
  <c r="T148" i="4"/>
  <c r="S148" i="4"/>
  <c r="O148" i="4" s="1"/>
  <c r="R148" i="4"/>
  <c r="N148" i="4" s="1"/>
  <c r="Q148" i="4"/>
  <c r="M148" i="4" s="1"/>
  <c r="K148" i="4"/>
  <c r="Z148" i="4" s="1"/>
  <c r="AF149" i="4"/>
  <c r="AE149" i="4"/>
  <c r="T149" i="4"/>
  <c r="S149" i="4"/>
  <c r="O149" i="4" s="1"/>
  <c r="R149" i="4"/>
  <c r="N149" i="4" s="1"/>
  <c r="Q149" i="4"/>
  <c r="M149" i="4" s="1"/>
  <c r="K149" i="4"/>
  <c r="Z149" i="4" s="1"/>
  <c r="AF142" i="4"/>
  <c r="AE142" i="4"/>
  <c r="T142" i="4"/>
  <c r="S142" i="4"/>
  <c r="O142" i="4" s="1"/>
  <c r="R142" i="4"/>
  <c r="N142" i="4" s="1"/>
  <c r="Q142" i="4"/>
  <c r="M142" i="4" s="1"/>
  <c r="K142" i="4"/>
  <c r="Z142" i="4" s="1"/>
  <c r="AF151" i="4"/>
  <c r="AE151" i="4"/>
  <c r="T151" i="4"/>
  <c r="S151" i="4"/>
  <c r="O151" i="4" s="1"/>
  <c r="R151" i="4"/>
  <c r="N151" i="4" s="1"/>
  <c r="Q151" i="4"/>
  <c r="M151" i="4" s="1"/>
  <c r="K151" i="4"/>
  <c r="Z151" i="4" s="1"/>
  <c r="AF126" i="4"/>
  <c r="AE126" i="4"/>
  <c r="T126" i="4"/>
  <c r="S126" i="4"/>
  <c r="O126" i="4" s="1"/>
  <c r="R126" i="4"/>
  <c r="N126" i="4" s="1"/>
  <c r="Q126" i="4"/>
  <c r="M126" i="4" s="1"/>
  <c r="K126" i="4"/>
  <c r="Z126" i="4" s="1"/>
  <c r="AF155" i="4"/>
  <c r="AE155" i="4"/>
  <c r="T155" i="4"/>
  <c r="S155" i="4"/>
  <c r="O155" i="4" s="1"/>
  <c r="R155" i="4"/>
  <c r="N155" i="4" s="1"/>
  <c r="Q155" i="4"/>
  <c r="M155" i="4" s="1"/>
  <c r="K155" i="4"/>
  <c r="Z155" i="4" s="1"/>
  <c r="AF120" i="4"/>
  <c r="AE120" i="4"/>
  <c r="T120" i="4"/>
  <c r="S120" i="4"/>
  <c r="O120" i="4" s="1"/>
  <c r="R120" i="4"/>
  <c r="N120" i="4" s="1"/>
  <c r="Q120" i="4"/>
  <c r="M120" i="4" s="1"/>
  <c r="K120" i="4"/>
  <c r="Z120" i="4" s="1"/>
  <c r="AF119" i="4"/>
  <c r="AE119" i="4"/>
  <c r="T119" i="4"/>
  <c r="S119" i="4"/>
  <c r="O119" i="4" s="1"/>
  <c r="R119" i="4"/>
  <c r="N119" i="4" s="1"/>
  <c r="Q119" i="4"/>
  <c r="M119" i="4" s="1"/>
  <c r="K119" i="4"/>
  <c r="Z119" i="4" s="1"/>
  <c r="AF113" i="4"/>
  <c r="AE113" i="4"/>
  <c r="T113" i="4"/>
  <c r="S113" i="4"/>
  <c r="O113" i="4" s="1"/>
  <c r="R113" i="4"/>
  <c r="N113" i="4" s="1"/>
  <c r="Q113" i="4"/>
  <c r="M113" i="4" s="1"/>
  <c r="K113" i="4"/>
  <c r="Z113" i="4" s="1"/>
  <c r="AF112" i="4"/>
  <c r="AE112" i="4"/>
  <c r="T112" i="4"/>
  <c r="S112" i="4"/>
  <c r="O112" i="4" s="1"/>
  <c r="R112" i="4"/>
  <c r="N112" i="4" s="1"/>
  <c r="Q112" i="4"/>
  <c r="M112" i="4" s="1"/>
  <c r="K112" i="4"/>
  <c r="Z112" i="4" s="1"/>
  <c r="AF111" i="4"/>
  <c r="AE111" i="4"/>
  <c r="T111" i="4"/>
  <c r="S111" i="4"/>
  <c r="O111" i="4" s="1"/>
  <c r="R111" i="4"/>
  <c r="N111" i="4" s="1"/>
  <c r="Q111" i="4"/>
  <c r="M111" i="4" s="1"/>
  <c r="K111" i="4"/>
  <c r="Z111" i="4" s="1"/>
  <c r="AF110" i="4"/>
  <c r="AE110" i="4"/>
  <c r="T110" i="4"/>
  <c r="S110" i="4"/>
  <c r="O110" i="4" s="1"/>
  <c r="R110" i="4"/>
  <c r="N110" i="4" s="1"/>
  <c r="Q110" i="4"/>
  <c r="M110" i="4" s="1"/>
  <c r="K110" i="4"/>
  <c r="Z110" i="4" s="1"/>
  <c r="AF109" i="4"/>
  <c r="AE109" i="4"/>
  <c r="T109" i="4"/>
  <c r="S109" i="4"/>
  <c r="O109" i="4" s="1"/>
  <c r="R109" i="4"/>
  <c r="N109" i="4" s="1"/>
  <c r="K109" i="4"/>
  <c r="Z109" i="4" s="1"/>
  <c r="AF108" i="4"/>
  <c r="AE108" i="4"/>
  <c r="T108" i="4"/>
  <c r="S108" i="4"/>
  <c r="O108" i="4" s="1"/>
  <c r="R108" i="4"/>
  <c r="N108" i="4" s="1"/>
  <c r="K108" i="4"/>
  <c r="Z108" i="4" s="1"/>
  <c r="AF107" i="4"/>
  <c r="AE107" i="4"/>
  <c r="T107" i="4"/>
  <c r="S107" i="4"/>
  <c r="O107" i="4" s="1"/>
  <c r="R107" i="4"/>
  <c r="N107" i="4" s="1"/>
  <c r="K107" i="4"/>
  <c r="Z107" i="4" s="1"/>
  <c r="AF106" i="4"/>
  <c r="AE106" i="4"/>
  <c r="T106" i="4"/>
  <c r="S106" i="4"/>
  <c r="O106" i="4" s="1"/>
  <c r="R106" i="4"/>
  <c r="N106" i="4" s="1"/>
  <c r="K106" i="4"/>
  <c r="Z106" i="4" s="1"/>
  <c r="AF105" i="4"/>
  <c r="AE105" i="4"/>
  <c r="T105" i="4"/>
  <c r="S105" i="4"/>
  <c r="O105" i="4" s="1"/>
  <c r="R105" i="4"/>
  <c r="N105" i="4" s="1"/>
  <c r="K105" i="4"/>
  <c r="Z105" i="4" s="1"/>
  <c r="AF104" i="4"/>
  <c r="AE104" i="4"/>
  <c r="T104" i="4"/>
  <c r="S104" i="4"/>
  <c r="O104" i="4" s="1"/>
  <c r="R104" i="4"/>
  <c r="N104" i="4" s="1"/>
  <c r="K104" i="4"/>
  <c r="Z104" i="4" s="1"/>
  <c r="AF100" i="4"/>
  <c r="AE100" i="4"/>
  <c r="T100" i="4"/>
  <c r="S100" i="4"/>
  <c r="O100" i="4" s="1"/>
  <c r="R100" i="4"/>
  <c r="N100" i="4" s="1"/>
  <c r="Q100" i="4"/>
  <c r="M100" i="4" s="1"/>
  <c r="K100" i="4"/>
  <c r="Z100" i="4" s="1"/>
  <c r="AF101" i="4"/>
  <c r="AE101" i="4"/>
  <c r="T101" i="4"/>
  <c r="S101" i="4"/>
  <c r="O101" i="4" s="1"/>
  <c r="R101" i="4"/>
  <c r="N101" i="4" s="1"/>
  <c r="Q101" i="4"/>
  <c r="M101" i="4" s="1"/>
  <c r="K101" i="4"/>
  <c r="Z101" i="4" s="1"/>
  <c r="AF96" i="4"/>
  <c r="AE96" i="4"/>
  <c r="T96" i="4"/>
  <c r="S96" i="4"/>
  <c r="O96" i="4" s="1"/>
  <c r="R96" i="4"/>
  <c r="N96" i="4" s="1"/>
  <c r="Q96" i="4"/>
  <c r="M96" i="4" s="1"/>
  <c r="K96" i="4"/>
  <c r="Z96" i="4" s="1"/>
  <c r="AF95" i="4"/>
  <c r="AE95" i="4"/>
  <c r="T95" i="4"/>
  <c r="S95" i="4"/>
  <c r="O95" i="4" s="1"/>
  <c r="R95" i="4"/>
  <c r="N95" i="4" s="1"/>
  <c r="Q95" i="4"/>
  <c r="M95" i="4" s="1"/>
  <c r="K95" i="4"/>
  <c r="Z95" i="4" s="1"/>
  <c r="AF93" i="4"/>
  <c r="AE93" i="4"/>
  <c r="T93" i="4"/>
  <c r="S93" i="4"/>
  <c r="O93" i="4" s="1"/>
  <c r="R93" i="4"/>
  <c r="N93" i="4" s="1"/>
  <c r="Q93" i="4"/>
  <c r="M93" i="4" s="1"/>
  <c r="K93" i="4"/>
  <c r="Z93" i="4" s="1"/>
  <c r="AF92" i="4"/>
  <c r="AE92" i="4"/>
  <c r="T92" i="4"/>
  <c r="S92" i="4"/>
  <c r="O92" i="4" s="1"/>
  <c r="R92" i="4"/>
  <c r="N92" i="4" s="1"/>
  <c r="Q92" i="4"/>
  <c r="M92" i="4" s="1"/>
  <c r="K92" i="4"/>
  <c r="Z92" i="4" s="1"/>
  <c r="AF91" i="4"/>
  <c r="AE91" i="4"/>
  <c r="T91" i="4"/>
  <c r="S91" i="4"/>
  <c r="O91" i="4" s="1"/>
  <c r="R91" i="4"/>
  <c r="N91" i="4" s="1"/>
  <c r="Q91" i="4"/>
  <c r="M91" i="4" s="1"/>
  <c r="K91" i="4"/>
  <c r="Z91" i="4" s="1"/>
  <c r="AF81" i="4"/>
  <c r="AE81" i="4"/>
  <c r="T81" i="4"/>
  <c r="S81" i="4"/>
  <c r="O81" i="4" s="1"/>
  <c r="R81" i="4"/>
  <c r="N81" i="4" s="1"/>
  <c r="Q81" i="4"/>
  <c r="M81" i="4" s="1"/>
  <c r="K81" i="4"/>
  <c r="Z81" i="4" s="1"/>
  <c r="AF82" i="4"/>
  <c r="AE82" i="4"/>
  <c r="T82" i="4"/>
  <c r="S82" i="4"/>
  <c r="O82" i="4" s="1"/>
  <c r="R82" i="4"/>
  <c r="N82" i="4" s="1"/>
  <c r="Q82" i="4"/>
  <c r="M82" i="4" s="1"/>
  <c r="K82" i="4"/>
  <c r="Z82" i="4" s="1"/>
  <c r="AF75" i="4"/>
  <c r="AE75" i="4"/>
  <c r="T75" i="4"/>
  <c r="S75" i="4"/>
  <c r="O75" i="4" s="1"/>
  <c r="R75" i="4"/>
  <c r="N75" i="4" s="1"/>
  <c r="Q75" i="4"/>
  <c r="M75" i="4" s="1"/>
  <c r="K75" i="4"/>
  <c r="Z75" i="4" s="1"/>
  <c r="AF103" i="4"/>
  <c r="AE103" i="4"/>
  <c r="T103" i="4"/>
  <c r="S103" i="4"/>
  <c r="O103" i="4" s="1"/>
  <c r="R103" i="4"/>
  <c r="N103" i="4" s="1"/>
  <c r="Q103" i="4"/>
  <c r="M103" i="4" s="1"/>
  <c r="K103" i="4"/>
  <c r="Z103" i="4" s="1"/>
  <c r="AF55" i="4"/>
  <c r="AE55" i="4"/>
  <c r="T55" i="4"/>
  <c r="S55" i="4"/>
  <c r="O55" i="4" s="1"/>
  <c r="R55" i="4"/>
  <c r="N55" i="4" s="1"/>
  <c r="Q55" i="4"/>
  <c r="M55" i="4" s="1"/>
  <c r="K55" i="4"/>
  <c r="Z55" i="4" s="1"/>
  <c r="AF54" i="4"/>
  <c r="AE54" i="4"/>
  <c r="T54" i="4"/>
  <c r="S54" i="4"/>
  <c r="O54" i="4" s="1"/>
  <c r="R54" i="4"/>
  <c r="N54" i="4" s="1"/>
  <c r="Q54" i="4"/>
  <c r="M54" i="4" s="1"/>
  <c r="K54" i="4"/>
  <c r="Z54" i="4" s="1"/>
  <c r="AF53" i="4"/>
  <c r="AE53" i="4"/>
  <c r="T53" i="4"/>
  <c r="S53" i="4"/>
  <c r="O53" i="4" s="1"/>
  <c r="R53" i="4"/>
  <c r="N53" i="4" s="1"/>
  <c r="Q53" i="4"/>
  <c r="M53" i="4" s="1"/>
  <c r="K53" i="4"/>
  <c r="Z53" i="4" s="1"/>
  <c r="F17" i="10"/>
  <c r="AF48" i="4"/>
  <c r="AE48" i="4"/>
  <c r="T48" i="4"/>
  <c r="S48" i="4"/>
  <c r="O48" i="4" s="1"/>
  <c r="R48" i="4"/>
  <c r="N48" i="4" s="1"/>
  <c r="Q48" i="4"/>
  <c r="M48" i="4" s="1"/>
  <c r="K48" i="4"/>
  <c r="Z48" i="4" s="1"/>
  <c r="AF47" i="4"/>
  <c r="AE47" i="4"/>
  <c r="T47" i="4"/>
  <c r="S47" i="4"/>
  <c r="O47" i="4" s="1"/>
  <c r="R47" i="4"/>
  <c r="N47" i="4" s="1"/>
  <c r="Q47" i="4"/>
  <c r="M47" i="4" s="1"/>
  <c r="K47" i="4"/>
  <c r="Z47" i="4" s="1"/>
  <c r="AF43" i="4"/>
  <c r="AE43" i="4"/>
  <c r="T43" i="4"/>
  <c r="S43" i="4"/>
  <c r="O43" i="4" s="1"/>
  <c r="R43" i="4"/>
  <c r="N43" i="4" s="1"/>
  <c r="Q43" i="4"/>
  <c r="M43" i="4" s="1"/>
  <c r="K43" i="4"/>
  <c r="Z43" i="4" s="1"/>
  <c r="AF42" i="4"/>
  <c r="AE42" i="4"/>
  <c r="T42" i="4"/>
  <c r="S42" i="4"/>
  <c r="O42" i="4" s="1"/>
  <c r="R42" i="4"/>
  <c r="N42" i="4" s="1"/>
  <c r="Q42" i="4"/>
  <c r="M42" i="4" s="1"/>
  <c r="K42" i="4"/>
  <c r="Z42" i="4" s="1"/>
  <c r="K44" i="4"/>
  <c r="Z44" i="4" s="1"/>
  <c r="Q44" i="4"/>
  <c r="M44" i="4" s="1"/>
  <c r="R44" i="4"/>
  <c r="N44" i="4" s="1"/>
  <c r="S44" i="4"/>
  <c r="O44" i="4" s="1"/>
  <c r="T44" i="4"/>
  <c r="AE44" i="4"/>
  <c r="AF44" i="4"/>
  <c r="AF41" i="4"/>
  <c r="AE41" i="4"/>
  <c r="T41" i="4"/>
  <c r="S41" i="4"/>
  <c r="O41" i="4" s="1"/>
  <c r="R41" i="4"/>
  <c r="N41" i="4" s="1"/>
  <c r="Q41" i="4"/>
  <c r="M41" i="4" s="1"/>
  <c r="K41" i="4"/>
  <c r="Z41" i="4" s="1"/>
  <c r="AF40" i="4"/>
  <c r="AE40" i="4"/>
  <c r="T40" i="4"/>
  <c r="S40" i="4"/>
  <c r="O40" i="4" s="1"/>
  <c r="R40" i="4"/>
  <c r="N40" i="4" s="1"/>
  <c r="Q40" i="4"/>
  <c r="M40" i="4" s="1"/>
  <c r="K40" i="4"/>
  <c r="Z40" i="4" s="1"/>
  <c r="A41" i="1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AE32" i="4"/>
  <c r="AF32" i="4"/>
  <c r="AE33" i="4"/>
  <c r="AF33" i="4"/>
  <c r="AE34" i="4"/>
  <c r="AF34" i="4"/>
  <c r="AE35" i="4"/>
  <c r="AF35" i="4"/>
  <c r="AE36" i="4"/>
  <c r="AF36" i="4"/>
  <c r="AE37" i="4"/>
  <c r="AF37" i="4"/>
  <c r="AE38" i="4"/>
  <c r="AF38" i="4"/>
  <c r="AE39" i="4"/>
  <c r="AF39" i="4"/>
  <c r="AE45" i="4"/>
  <c r="AF45" i="4"/>
  <c r="AE46" i="4"/>
  <c r="AF46" i="4"/>
  <c r="AE49" i="4"/>
  <c r="AF49" i="4"/>
  <c r="AE50" i="4"/>
  <c r="AF50" i="4"/>
  <c r="AE51" i="4"/>
  <c r="AF51" i="4"/>
  <c r="AE52" i="4"/>
  <c r="AF52" i="4"/>
  <c r="AE56" i="4"/>
  <c r="AF56" i="4"/>
  <c r="AE57" i="4"/>
  <c r="AF57" i="4"/>
  <c r="AE58" i="4"/>
  <c r="AF58" i="4"/>
  <c r="AE59" i="4"/>
  <c r="AF59" i="4"/>
  <c r="AE60" i="4"/>
  <c r="AF60" i="4"/>
  <c r="AE61" i="4"/>
  <c r="AF61" i="4"/>
  <c r="AE62" i="4"/>
  <c r="AF62" i="4"/>
  <c r="AE63" i="4"/>
  <c r="AF63" i="4"/>
  <c r="AE64" i="4"/>
  <c r="AF64" i="4"/>
  <c r="AE65" i="4"/>
  <c r="AF65" i="4"/>
  <c r="AE66" i="4"/>
  <c r="AF66" i="4"/>
  <c r="AE67" i="4"/>
  <c r="AF67" i="4"/>
  <c r="AE68" i="4"/>
  <c r="AF68" i="4"/>
  <c r="AE69" i="4"/>
  <c r="AF69" i="4"/>
  <c r="AE70" i="4"/>
  <c r="AF70" i="4"/>
  <c r="AE71" i="4"/>
  <c r="AF71" i="4"/>
  <c r="AE72" i="4"/>
  <c r="AF72" i="4"/>
  <c r="AE73" i="4"/>
  <c r="AF73" i="4"/>
  <c r="AE74" i="4"/>
  <c r="AF74" i="4"/>
  <c r="AE76" i="4"/>
  <c r="AF76" i="4"/>
  <c r="AE77" i="4"/>
  <c r="AF77" i="4"/>
  <c r="AE78" i="4"/>
  <c r="AF78" i="4"/>
  <c r="AE79" i="4"/>
  <c r="AF79" i="4"/>
  <c r="AE80" i="4"/>
  <c r="AF80" i="4"/>
  <c r="AE83" i="4"/>
  <c r="AF83" i="4"/>
  <c r="AE84" i="4"/>
  <c r="AF84" i="4"/>
  <c r="AE85" i="4"/>
  <c r="AF85" i="4"/>
  <c r="AE86" i="4"/>
  <c r="AF86" i="4"/>
  <c r="AE87" i="4"/>
  <c r="AF87" i="4"/>
  <c r="AE88" i="4"/>
  <c r="AF88" i="4"/>
  <c r="AE89" i="4"/>
  <c r="AF89" i="4"/>
  <c r="AE90" i="4"/>
  <c r="AF90" i="4"/>
  <c r="AE94" i="4"/>
  <c r="AF94" i="4"/>
  <c r="AE97" i="4"/>
  <c r="AF97" i="4"/>
  <c r="AE98" i="4"/>
  <c r="AF98" i="4"/>
  <c r="AE99" i="4"/>
  <c r="AF99" i="4"/>
  <c r="AE102" i="4"/>
  <c r="AF102" i="4"/>
  <c r="AE114" i="4"/>
  <c r="AF114" i="4"/>
  <c r="AE115" i="4"/>
  <c r="AF115" i="4"/>
  <c r="AE116" i="4"/>
  <c r="AF116" i="4"/>
  <c r="AE117" i="4"/>
  <c r="AF117" i="4"/>
  <c r="AE118" i="4"/>
  <c r="AF118" i="4"/>
  <c r="AE121" i="4"/>
  <c r="AF121" i="4"/>
  <c r="AE122" i="4"/>
  <c r="AF122" i="4"/>
  <c r="AE123" i="4"/>
  <c r="AF123" i="4"/>
  <c r="AE124" i="4"/>
  <c r="AF124" i="4"/>
  <c r="AE125" i="4"/>
  <c r="AF125" i="4"/>
  <c r="AE127" i="4"/>
  <c r="AF127" i="4"/>
  <c r="AE128" i="4"/>
  <c r="AF128" i="4"/>
  <c r="AE129" i="4"/>
  <c r="AF129" i="4"/>
  <c r="AE130" i="4"/>
  <c r="AF130" i="4"/>
  <c r="AE131" i="4"/>
  <c r="AF131" i="4"/>
  <c r="AE132" i="4"/>
  <c r="AF132" i="4"/>
  <c r="AE133" i="4"/>
  <c r="AF133" i="4"/>
  <c r="AE134" i="4"/>
  <c r="AF134" i="4"/>
  <c r="AE135" i="4"/>
  <c r="AF135" i="4"/>
  <c r="AE136" i="4"/>
  <c r="AF136" i="4"/>
  <c r="AE137" i="4"/>
  <c r="AF137" i="4"/>
  <c r="AE138" i="4"/>
  <c r="AF138" i="4"/>
  <c r="AE139" i="4"/>
  <c r="AF139" i="4"/>
  <c r="AE140" i="4"/>
  <c r="AF140" i="4"/>
  <c r="AE141" i="4"/>
  <c r="AF141" i="4"/>
  <c r="AE143" i="4"/>
  <c r="AF143" i="4"/>
  <c r="AE144" i="4"/>
  <c r="AF144" i="4"/>
  <c r="AE145" i="4"/>
  <c r="AF145" i="4"/>
  <c r="AE146" i="4"/>
  <c r="AF146" i="4"/>
  <c r="AE147" i="4"/>
  <c r="AF147" i="4"/>
  <c r="AE150" i="4"/>
  <c r="AF150" i="4"/>
  <c r="AE152" i="4"/>
  <c r="AF152" i="4"/>
  <c r="AE153" i="4"/>
  <c r="AF153" i="4"/>
  <c r="AE154" i="4"/>
  <c r="AF154" i="4"/>
  <c r="AE156" i="4"/>
  <c r="AF156" i="4"/>
  <c r="AE157" i="4"/>
  <c r="AF157" i="4"/>
  <c r="AE158" i="4"/>
  <c r="AF158" i="4"/>
  <c r="AE159" i="4"/>
  <c r="AF159" i="4"/>
  <c r="AE160" i="4"/>
  <c r="AF160" i="4"/>
  <c r="AE161" i="4"/>
  <c r="AF161" i="4"/>
  <c r="AE162" i="4"/>
  <c r="AF162" i="4"/>
  <c r="AE163" i="4"/>
  <c r="AF163" i="4"/>
  <c r="AE164" i="4"/>
  <c r="AF164" i="4"/>
  <c r="AE165" i="4"/>
  <c r="AF165" i="4"/>
  <c r="AE166" i="4"/>
  <c r="AF166" i="4"/>
  <c r="AE167" i="4"/>
  <c r="AF167" i="4"/>
  <c r="AE168" i="4"/>
  <c r="AF168" i="4"/>
  <c r="AE184" i="4"/>
  <c r="AF184" i="4"/>
  <c r="AE185" i="4"/>
  <c r="AF185" i="4"/>
  <c r="AE186" i="4"/>
  <c r="AF186" i="4"/>
  <c r="AE187" i="4"/>
  <c r="AF187" i="4"/>
  <c r="AE188" i="4"/>
  <c r="AF188" i="4"/>
  <c r="AE189" i="4"/>
  <c r="AF189" i="4"/>
  <c r="AE190" i="4"/>
  <c r="AF190" i="4"/>
  <c r="AE191" i="4"/>
  <c r="AF191" i="4"/>
  <c r="AE192" i="4"/>
  <c r="AF192" i="4"/>
  <c r="AE193" i="4"/>
  <c r="AF193" i="4"/>
  <c r="AE194" i="4"/>
  <c r="AF194" i="4"/>
  <c r="AE195" i="4"/>
  <c r="AF195" i="4"/>
  <c r="AE196" i="4"/>
  <c r="AF196" i="4"/>
  <c r="AE197" i="4"/>
  <c r="AF197" i="4"/>
  <c r="AE198" i="4"/>
  <c r="AF198" i="4"/>
  <c r="AE210" i="4"/>
  <c r="AF210" i="4"/>
  <c r="AE211" i="4"/>
  <c r="AF211" i="4"/>
  <c r="AE212" i="4"/>
  <c r="AF212" i="4"/>
  <c r="AE213" i="4"/>
  <c r="AF213" i="4"/>
  <c r="AE214" i="4"/>
  <c r="AF214" i="4"/>
  <c r="AE215" i="4"/>
  <c r="AF215" i="4"/>
  <c r="AE216" i="4"/>
  <c r="AF216" i="4"/>
  <c r="AE217" i="4"/>
  <c r="AF217" i="4"/>
  <c r="AE218" i="4"/>
  <c r="AF218" i="4"/>
  <c r="AE233" i="4"/>
  <c r="AF233" i="4"/>
  <c r="AE234" i="4"/>
  <c r="AF234" i="4"/>
  <c r="AE235" i="4"/>
  <c r="AF235" i="4"/>
  <c r="AE236" i="4"/>
  <c r="AF236" i="4"/>
  <c r="AE237" i="4"/>
  <c r="AF237" i="4"/>
  <c r="AE238" i="4"/>
  <c r="AF238" i="4"/>
  <c r="AE239" i="4"/>
  <c r="AF239" i="4"/>
  <c r="AE240" i="4"/>
  <c r="AF240" i="4"/>
  <c r="AE241" i="4"/>
  <c r="AF241" i="4"/>
  <c r="AE242" i="4"/>
  <c r="AF242" i="4"/>
  <c r="AE243" i="4"/>
  <c r="AF243" i="4"/>
  <c r="AE244" i="4"/>
  <c r="AF244" i="4"/>
  <c r="AE245" i="4"/>
  <c r="AF245" i="4"/>
  <c r="AE246" i="4"/>
  <c r="AF246" i="4"/>
  <c r="AE247" i="4"/>
  <c r="AF247" i="4"/>
  <c r="AE248" i="4"/>
  <c r="AF248" i="4"/>
  <c r="AE249" i="4"/>
  <c r="AF249" i="4"/>
  <c r="AE250" i="4"/>
  <c r="AF250" i="4"/>
  <c r="AE251" i="4"/>
  <c r="AF251" i="4"/>
  <c r="AE252" i="4"/>
  <c r="AF252" i="4"/>
  <c r="AE253" i="4"/>
  <c r="AF253" i="4"/>
  <c r="AE254" i="4"/>
  <c r="AF254" i="4"/>
  <c r="AE255" i="4"/>
  <c r="AF255" i="4"/>
  <c r="AE256" i="4"/>
  <c r="AF256" i="4"/>
  <c r="AE257" i="4"/>
  <c r="AF257" i="4"/>
  <c r="AE258" i="4"/>
  <c r="AF258" i="4"/>
  <c r="AE259" i="4"/>
  <c r="AF259" i="4"/>
  <c r="AE260" i="4"/>
  <c r="AF260" i="4"/>
  <c r="AE261" i="4"/>
  <c r="AF261" i="4"/>
  <c r="AE262" i="4"/>
  <c r="AF262" i="4"/>
  <c r="AE263" i="4"/>
  <c r="AF263" i="4"/>
  <c r="AE264" i="4"/>
  <c r="AF264" i="4"/>
  <c r="AE265" i="4"/>
  <c r="AF265" i="4"/>
  <c r="AE266" i="4"/>
  <c r="AF266" i="4"/>
  <c r="AE267" i="4"/>
  <c r="AF267" i="4"/>
  <c r="AE268" i="4"/>
  <c r="AF268" i="4"/>
  <c r="AE269" i="4"/>
  <c r="AF269" i="4"/>
  <c r="AE270" i="4"/>
  <c r="AF270" i="4"/>
  <c r="AE271" i="4"/>
  <c r="AF271" i="4"/>
  <c r="AE272" i="4"/>
  <c r="AF272" i="4"/>
  <c r="AE273" i="4"/>
  <c r="AF273" i="4"/>
  <c r="AE274" i="4"/>
  <c r="AF274" i="4"/>
  <c r="AE275" i="4"/>
  <c r="AF275" i="4"/>
  <c r="AE276" i="4"/>
  <c r="AF276" i="4"/>
  <c r="AE277" i="4"/>
  <c r="AF277" i="4"/>
  <c r="AE278" i="4"/>
  <c r="AF278" i="4"/>
  <c r="AE279" i="4"/>
  <c r="AF279" i="4"/>
  <c r="AE280" i="4"/>
  <c r="AF280" i="4"/>
  <c r="AE281" i="4"/>
  <c r="AF281" i="4"/>
  <c r="AE282" i="4"/>
  <c r="AF282" i="4"/>
  <c r="AE283" i="4"/>
  <c r="AF283" i="4"/>
  <c r="AE284" i="4"/>
  <c r="AF284" i="4"/>
  <c r="AE285" i="4"/>
  <c r="AF285" i="4"/>
  <c r="AE286" i="4"/>
  <c r="AF286" i="4"/>
  <c r="AE287" i="4"/>
  <c r="AF287" i="4"/>
  <c r="AE288" i="4"/>
  <c r="AF288" i="4"/>
  <c r="AE289" i="4"/>
  <c r="AF289" i="4"/>
  <c r="AE290" i="4"/>
  <c r="AF290" i="4"/>
  <c r="AE291" i="4"/>
  <c r="AF291" i="4"/>
  <c r="AE292" i="4"/>
  <c r="AF292" i="4"/>
  <c r="AE293" i="4"/>
  <c r="AF293" i="4"/>
  <c r="AE294" i="4"/>
  <c r="AF294" i="4"/>
  <c r="AE295" i="4"/>
  <c r="AF295" i="4"/>
  <c r="AE296" i="4"/>
  <c r="AF296" i="4"/>
  <c r="AE297" i="4"/>
  <c r="AF297" i="4"/>
  <c r="AE298" i="4"/>
  <c r="AF298" i="4"/>
  <c r="AE299" i="4"/>
  <c r="AF299" i="4"/>
  <c r="AE300" i="4"/>
  <c r="AF300" i="4"/>
  <c r="AE301" i="4"/>
  <c r="AF301" i="4"/>
  <c r="AE302" i="4"/>
  <c r="AF302" i="4"/>
  <c r="AE303" i="4"/>
  <c r="AF303" i="4"/>
  <c r="AE304" i="4"/>
  <c r="AF304" i="4"/>
  <c r="AE305" i="4"/>
  <c r="AF305" i="4"/>
  <c r="AE306" i="4"/>
  <c r="AF306" i="4"/>
  <c r="AE307" i="4"/>
  <c r="AF307" i="4"/>
  <c r="AE308" i="4"/>
  <c r="AF308" i="4"/>
  <c r="AE309" i="4"/>
  <c r="AF309" i="4"/>
  <c r="AE310" i="4"/>
  <c r="AF310" i="4"/>
  <c r="AE311" i="4"/>
  <c r="AF311" i="4"/>
  <c r="AE312" i="4"/>
  <c r="AF312" i="4"/>
  <c r="AE313" i="4"/>
  <c r="AF313" i="4"/>
  <c r="AE314" i="4"/>
  <c r="AF314" i="4"/>
  <c r="AE315" i="4"/>
  <c r="AF315" i="4"/>
  <c r="AE316" i="4"/>
  <c r="AF316" i="4"/>
  <c r="AE317" i="4"/>
  <c r="AF317" i="4"/>
  <c r="AE318" i="4"/>
  <c r="AF318" i="4"/>
  <c r="AE319" i="4"/>
  <c r="AF319" i="4"/>
  <c r="AE320" i="4"/>
  <c r="AF320" i="4"/>
  <c r="AE321" i="4"/>
  <c r="AF321" i="4"/>
  <c r="AE322" i="4"/>
  <c r="AF322" i="4"/>
  <c r="AE323" i="4"/>
  <c r="AF323" i="4"/>
  <c r="AE324" i="4"/>
  <c r="AF324" i="4"/>
  <c r="AE325" i="4"/>
  <c r="AF325" i="4"/>
  <c r="AE326" i="4"/>
  <c r="AF326" i="4"/>
  <c r="AE327" i="4"/>
  <c r="AF327" i="4"/>
  <c r="AE328" i="4"/>
  <c r="AF328" i="4"/>
  <c r="AE329" i="4"/>
  <c r="AF329" i="4"/>
  <c r="AE330" i="4"/>
  <c r="AF330" i="4"/>
  <c r="AE331" i="4"/>
  <c r="AF331" i="4"/>
  <c r="AE332" i="4"/>
  <c r="AF332" i="4"/>
  <c r="AE333" i="4"/>
  <c r="AF333" i="4"/>
  <c r="AE334" i="4"/>
  <c r="AF334" i="4"/>
  <c r="AE335" i="4"/>
  <c r="AF335" i="4"/>
  <c r="AE336" i="4"/>
  <c r="AF336" i="4"/>
  <c r="AE337" i="4"/>
  <c r="AF337" i="4"/>
  <c r="AE338" i="4"/>
  <c r="AF338" i="4"/>
  <c r="AE339" i="4"/>
  <c r="AF339" i="4"/>
  <c r="AE340" i="4"/>
  <c r="AF340" i="4"/>
  <c r="AE341" i="4"/>
  <c r="AF341" i="4"/>
  <c r="AE342" i="4"/>
  <c r="AF342" i="4"/>
  <c r="AE343" i="4"/>
  <c r="AF343" i="4"/>
  <c r="AE344" i="4"/>
  <c r="AF344" i="4"/>
  <c r="AE345" i="4"/>
  <c r="AF345" i="4"/>
  <c r="AE346" i="4"/>
  <c r="AF346" i="4"/>
  <c r="AE347" i="4"/>
  <c r="AF347" i="4"/>
  <c r="AE348" i="4"/>
  <c r="AF348" i="4"/>
  <c r="AE349" i="4"/>
  <c r="AF349" i="4"/>
  <c r="AE350" i="4"/>
  <c r="AF350" i="4"/>
  <c r="AE351" i="4"/>
  <c r="AF351" i="4"/>
  <c r="AE352" i="4"/>
  <c r="AF352" i="4"/>
  <c r="AE353" i="4"/>
  <c r="AF353" i="4"/>
  <c r="AE354" i="4"/>
  <c r="AF354" i="4"/>
  <c r="AE355" i="4"/>
  <c r="AF355" i="4"/>
  <c r="AE356" i="4"/>
  <c r="AF356" i="4"/>
  <c r="AE357" i="4"/>
  <c r="AF357" i="4"/>
  <c r="AE358" i="4"/>
  <c r="AF358" i="4"/>
  <c r="AE359" i="4"/>
  <c r="AF359" i="4"/>
  <c r="AE360" i="4"/>
  <c r="AF360" i="4"/>
  <c r="AE361" i="4"/>
  <c r="AF361" i="4"/>
  <c r="AE362" i="4"/>
  <c r="AF362" i="4"/>
  <c r="AE363" i="4"/>
  <c r="AF363" i="4"/>
  <c r="AE364" i="4"/>
  <c r="AF364" i="4"/>
  <c r="AE365" i="4"/>
  <c r="AF365" i="4"/>
  <c r="AE366" i="4"/>
  <c r="AF366" i="4"/>
  <c r="AE367" i="4"/>
  <c r="AF367" i="4"/>
  <c r="AE368" i="4"/>
  <c r="AF368" i="4"/>
  <c r="AE369" i="4"/>
  <c r="AF369" i="4"/>
  <c r="AE370" i="4"/>
  <c r="AF370" i="4"/>
  <c r="AE371" i="4"/>
  <c r="AF371" i="4"/>
  <c r="AE372" i="4"/>
  <c r="AF372" i="4"/>
  <c r="AE373" i="4"/>
  <c r="AF373" i="4"/>
  <c r="AE374" i="4"/>
  <c r="AF374" i="4"/>
  <c r="AE375" i="4"/>
  <c r="AF375" i="4"/>
  <c r="AE376" i="4"/>
  <c r="AF376" i="4"/>
  <c r="AE377" i="4"/>
  <c r="AF377" i="4"/>
  <c r="AE378" i="4"/>
  <c r="AF378" i="4"/>
  <c r="AE379" i="4"/>
  <c r="AF379" i="4"/>
  <c r="AE380" i="4"/>
  <c r="AF380" i="4"/>
  <c r="AE381" i="4"/>
  <c r="AF381" i="4"/>
  <c r="AE382" i="4"/>
  <c r="AF382" i="4"/>
  <c r="AE383" i="4"/>
  <c r="AF383" i="4"/>
  <c r="AE384" i="4"/>
  <c r="AF384" i="4"/>
  <c r="AE385" i="4"/>
  <c r="AF385" i="4"/>
  <c r="AE386" i="4"/>
  <c r="AF386" i="4"/>
  <c r="AE387" i="4"/>
  <c r="AF387" i="4"/>
  <c r="AE388" i="4"/>
  <c r="AF388" i="4"/>
  <c r="AE389" i="4"/>
  <c r="AF389" i="4"/>
  <c r="AE390" i="4"/>
  <c r="AF390" i="4"/>
  <c r="AE391" i="4"/>
  <c r="AF391" i="4"/>
  <c r="AE392" i="4"/>
  <c r="AF392" i="4"/>
  <c r="AE393" i="4"/>
  <c r="AF393" i="4"/>
  <c r="AE394" i="4"/>
  <c r="AF394" i="4"/>
  <c r="AE395" i="4"/>
  <c r="AF395" i="4"/>
  <c r="AE396" i="4"/>
  <c r="AF396" i="4"/>
  <c r="AE397" i="4"/>
  <c r="AF397" i="4"/>
  <c r="AE398" i="4"/>
  <c r="AF398" i="4"/>
  <c r="AE399" i="4"/>
  <c r="AF399" i="4"/>
  <c r="AE400" i="4"/>
  <c r="AF400" i="4"/>
  <c r="AE401" i="4"/>
  <c r="AF401" i="4"/>
  <c r="AE402" i="4"/>
  <c r="AF402" i="4"/>
  <c r="AE403" i="4"/>
  <c r="AF403" i="4"/>
  <c r="AE404" i="4"/>
  <c r="AF404" i="4"/>
  <c r="AE405" i="4"/>
  <c r="AF405" i="4"/>
  <c r="AE406" i="4"/>
  <c r="AF406" i="4"/>
  <c r="AE407" i="4"/>
  <c r="AF407" i="4"/>
  <c r="AE408" i="4"/>
  <c r="AF408" i="4"/>
  <c r="AE409" i="4"/>
  <c r="AF409" i="4"/>
  <c r="AE410" i="4"/>
  <c r="AF410" i="4"/>
  <c r="AE411" i="4"/>
  <c r="AF411" i="4"/>
  <c r="AE412" i="4"/>
  <c r="AF412" i="4"/>
  <c r="AE413" i="4"/>
  <c r="AF413" i="4"/>
  <c r="AE414" i="4"/>
  <c r="AF414" i="4"/>
  <c r="AE415" i="4"/>
  <c r="AF415" i="4"/>
  <c r="AE416" i="4"/>
  <c r="AF416" i="4"/>
  <c r="AE417" i="4"/>
  <c r="AF417" i="4"/>
  <c r="AE418" i="4"/>
  <c r="AF418" i="4"/>
  <c r="AE419" i="4"/>
  <c r="AF419" i="4"/>
  <c r="AE420" i="4"/>
  <c r="AF420" i="4"/>
  <c r="AE421" i="4"/>
  <c r="AF421" i="4"/>
  <c r="AE422" i="4"/>
  <c r="AF422" i="4"/>
  <c r="AE423" i="4"/>
  <c r="AF423" i="4"/>
  <c r="AE424" i="4"/>
  <c r="AF424" i="4"/>
  <c r="AE425" i="4"/>
  <c r="AF425" i="4"/>
  <c r="AE426" i="4"/>
  <c r="AF426" i="4"/>
  <c r="AE427" i="4"/>
  <c r="AF427" i="4"/>
  <c r="AE428" i="4"/>
  <c r="AF428" i="4"/>
  <c r="AE434" i="4"/>
  <c r="AF434" i="4"/>
  <c r="AE435" i="4"/>
  <c r="AF435" i="4"/>
  <c r="AE436" i="4"/>
  <c r="AF436" i="4"/>
  <c r="AE437" i="4"/>
  <c r="AF437" i="4"/>
  <c r="AE438" i="4"/>
  <c r="AF438" i="4"/>
  <c r="AE439" i="4"/>
  <c r="AF439" i="4"/>
  <c r="AE440" i="4"/>
  <c r="AF440" i="4"/>
  <c r="AE441" i="4"/>
  <c r="AF441" i="4"/>
  <c r="AE442" i="4"/>
  <c r="AF442" i="4"/>
  <c r="AE443" i="4"/>
  <c r="AF443" i="4"/>
  <c r="AE444" i="4"/>
  <c r="AF444" i="4"/>
  <c r="AE445" i="4"/>
  <c r="AF445" i="4"/>
  <c r="AE446" i="4"/>
  <c r="AF446" i="4"/>
  <c r="AE447" i="4"/>
  <c r="AF447" i="4"/>
  <c r="AE448" i="4"/>
  <c r="AF448" i="4"/>
  <c r="AE449" i="4"/>
  <c r="AF449" i="4"/>
  <c r="AE450" i="4"/>
  <c r="AF450" i="4"/>
  <c r="AE451" i="4"/>
  <c r="AF451" i="4"/>
  <c r="AE452" i="4"/>
  <c r="AF452" i="4"/>
  <c r="AE453" i="4"/>
  <c r="AF453" i="4"/>
  <c r="AE454" i="4"/>
  <c r="AF454" i="4"/>
  <c r="AE455" i="4"/>
  <c r="AF455" i="4"/>
  <c r="AE456" i="4"/>
  <c r="AF456" i="4"/>
  <c r="AE457" i="4"/>
  <c r="AF457" i="4"/>
  <c r="AE458" i="4"/>
  <c r="AF458" i="4"/>
  <c r="AE459" i="4"/>
  <c r="AF459" i="4"/>
  <c r="AE460" i="4"/>
  <c r="AF460" i="4"/>
  <c r="AE461" i="4"/>
  <c r="AF461" i="4"/>
  <c r="AE462" i="4"/>
  <c r="AF462" i="4"/>
  <c r="AE463" i="4"/>
  <c r="AF463" i="4"/>
  <c r="AE464" i="4"/>
  <c r="AF464" i="4"/>
  <c r="AE465" i="4"/>
  <c r="AF465" i="4"/>
  <c r="AE466" i="4"/>
  <c r="AF466" i="4"/>
  <c r="AE467" i="4"/>
  <c r="AF467" i="4"/>
  <c r="AE468" i="4"/>
  <c r="AF468" i="4"/>
  <c r="AE469" i="4"/>
  <c r="AF469" i="4"/>
  <c r="AE470" i="4"/>
  <c r="AF470" i="4"/>
  <c r="AE471" i="4"/>
  <c r="AF471" i="4"/>
  <c r="AE472" i="4"/>
  <c r="AF472" i="4"/>
  <c r="AE473" i="4"/>
  <c r="AF473" i="4"/>
  <c r="AE474" i="4"/>
  <c r="AF474" i="4"/>
  <c r="AE475" i="4"/>
  <c r="AF475" i="4"/>
  <c r="AE476" i="4"/>
  <c r="AF476" i="4"/>
  <c r="AE477" i="4"/>
  <c r="AF477" i="4"/>
  <c r="AE478" i="4"/>
  <c r="AF478" i="4"/>
  <c r="AE479" i="4"/>
  <c r="AF479" i="4"/>
  <c r="AE480" i="4"/>
  <c r="AF480" i="4"/>
  <c r="AE481" i="4"/>
  <c r="AF481" i="4"/>
  <c r="AE482" i="4"/>
  <c r="AF482" i="4"/>
  <c r="AE483" i="4"/>
  <c r="AF483" i="4"/>
  <c r="AE484" i="4"/>
  <c r="AF484" i="4"/>
  <c r="AE485" i="4"/>
  <c r="AF485" i="4"/>
  <c r="AE486" i="4"/>
  <c r="AF486" i="4"/>
  <c r="AE487" i="4"/>
  <c r="AF487" i="4"/>
  <c r="AE488" i="4"/>
  <c r="AF488" i="4"/>
  <c r="AE489" i="4"/>
  <c r="AF489" i="4"/>
  <c r="AE490" i="4"/>
  <c r="AF490" i="4"/>
  <c r="AE491" i="4"/>
  <c r="AF491" i="4"/>
  <c r="AE492" i="4"/>
  <c r="AF492" i="4"/>
  <c r="AE493" i="4"/>
  <c r="AF493" i="4"/>
  <c r="AE494" i="4"/>
  <c r="AF494" i="4"/>
  <c r="AE495" i="4"/>
  <c r="AF495" i="4"/>
  <c r="AE496" i="4"/>
  <c r="AF496" i="4"/>
  <c r="AE497" i="4"/>
  <c r="AF497" i="4"/>
  <c r="AE498" i="4"/>
  <c r="AF498" i="4"/>
  <c r="AE499" i="4"/>
  <c r="AF499" i="4"/>
  <c r="AE500" i="4"/>
  <c r="AF500" i="4"/>
  <c r="AE501" i="4"/>
  <c r="AF501" i="4"/>
  <c r="AE502" i="4"/>
  <c r="AF502" i="4"/>
  <c r="AE503" i="4"/>
  <c r="AF503" i="4"/>
  <c r="AE504" i="4"/>
  <c r="AF504" i="4"/>
  <c r="AE505" i="4"/>
  <c r="AF505" i="4"/>
  <c r="AE506" i="4"/>
  <c r="AF506" i="4"/>
  <c r="AE507" i="4"/>
  <c r="AF507" i="4"/>
  <c r="AE508" i="4"/>
  <c r="AF508" i="4"/>
  <c r="AE509" i="4"/>
  <c r="AF509" i="4"/>
  <c r="AE510" i="4"/>
  <c r="AF510" i="4"/>
  <c r="AE511" i="4"/>
  <c r="AF511" i="4"/>
  <c r="AE512" i="4"/>
  <c r="AF512" i="4"/>
  <c r="AE513" i="4"/>
  <c r="AF513" i="4"/>
  <c r="AE514" i="4"/>
  <c r="AF514" i="4"/>
  <c r="AE515" i="4"/>
  <c r="AF515" i="4"/>
  <c r="AE516" i="4"/>
  <c r="AF516" i="4"/>
  <c r="AE517" i="4"/>
  <c r="AF517" i="4"/>
  <c r="AE518" i="4"/>
  <c r="AF518" i="4"/>
  <c r="AE519" i="4"/>
  <c r="AF519" i="4"/>
  <c r="AE520" i="4"/>
  <c r="AF520" i="4"/>
  <c r="AE521" i="4"/>
  <c r="AF521" i="4"/>
  <c r="AE522" i="4"/>
  <c r="AF522" i="4"/>
  <c r="AE523" i="4"/>
  <c r="AF523" i="4"/>
  <c r="AE524" i="4"/>
  <c r="AF524" i="4"/>
  <c r="AE525" i="4"/>
  <c r="AF525" i="4"/>
  <c r="AE526" i="4"/>
  <c r="AF526" i="4"/>
  <c r="AE527" i="4"/>
  <c r="AF527" i="4"/>
  <c r="AE528" i="4"/>
  <c r="AF528" i="4"/>
  <c r="AE529" i="4"/>
  <c r="AF529" i="4"/>
  <c r="AE530" i="4"/>
  <c r="AF530" i="4"/>
  <c r="AE531" i="4"/>
  <c r="AF531" i="4"/>
  <c r="AE532" i="4"/>
  <c r="AF532" i="4"/>
  <c r="AE533" i="4"/>
  <c r="AF533" i="4"/>
  <c r="AE534" i="4"/>
  <c r="AF534" i="4"/>
  <c r="AE535" i="4"/>
  <c r="AF535" i="4"/>
  <c r="AE536" i="4"/>
  <c r="AF536" i="4"/>
  <c r="AE537" i="4"/>
  <c r="AF537" i="4"/>
  <c r="AE538" i="4"/>
  <c r="AF538" i="4"/>
  <c r="AE539" i="4"/>
  <c r="AF539" i="4"/>
  <c r="AE540" i="4"/>
  <c r="AF540" i="4"/>
  <c r="AE541" i="4"/>
  <c r="AF541" i="4"/>
  <c r="AE542" i="4"/>
  <c r="AF542" i="4"/>
  <c r="AE543" i="4"/>
  <c r="AF543" i="4"/>
  <c r="AE544" i="4"/>
  <c r="AF544" i="4"/>
  <c r="AE545" i="4"/>
  <c r="AF545" i="4"/>
  <c r="AE546" i="4"/>
  <c r="AF546" i="4"/>
  <c r="AE547" i="4"/>
  <c r="AF547" i="4"/>
  <c r="AE548" i="4"/>
  <c r="AF548" i="4"/>
  <c r="AE549" i="4"/>
  <c r="AF549" i="4"/>
  <c r="AE550" i="4"/>
  <c r="AF550" i="4"/>
  <c r="AE551" i="4"/>
  <c r="AF551" i="4"/>
  <c r="AF9" i="4"/>
  <c r="AE9" i="4"/>
  <c r="H31" i="14" l="1"/>
  <c r="K534" i="4"/>
  <c r="Y17" i="9" l="1"/>
  <c r="S17" i="9"/>
  <c r="T17" i="9" s="1"/>
  <c r="T16" i="9"/>
  <c r="E69" i="2"/>
  <c r="S18" i="9" l="1"/>
  <c r="S19" i="9" s="1"/>
  <c r="S20" i="9" s="1"/>
  <c r="S21" i="9" s="1"/>
  <c r="S22" i="9" s="1"/>
  <c r="S23" i="9" s="1"/>
  <c r="S24" i="9" s="1"/>
  <c r="S25" i="9" s="1"/>
  <c r="S26" i="9" s="1"/>
  <c r="S27" i="9" s="1"/>
  <c r="S28" i="9" s="1"/>
  <c r="S29" i="9" s="1"/>
  <c r="S30" i="9" s="1"/>
  <c r="S31" i="9" s="1"/>
  <c r="S32" i="9" s="1"/>
  <c r="S33" i="9" s="1"/>
  <c r="S34" i="9" s="1"/>
  <c r="S35" i="9" s="1"/>
  <c r="S36" i="9" s="1"/>
  <c r="S37" i="9" s="1"/>
  <c r="S38" i="9" s="1"/>
  <c r="S39" i="9" s="1"/>
  <c r="S40" i="9" s="1"/>
  <c r="S41" i="9" s="1"/>
  <c r="S42" i="9" s="1"/>
  <c r="S43" i="9" s="1"/>
  <c r="T43" i="9" s="1"/>
  <c r="I17" i="9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D17" i="9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D32" i="9" s="1"/>
  <c r="D33" i="9" s="1"/>
  <c r="D34" i="9" s="1"/>
  <c r="D35" i="9" s="1"/>
  <c r="D36" i="9" s="1"/>
  <c r="D37" i="9" s="1"/>
  <c r="D38" i="9" s="1"/>
  <c r="D39" i="9" s="1"/>
  <c r="D40" i="9" s="1"/>
  <c r="D41" i="9" s="1"/>
  <c r="D42" i="9" s="1"/>
  <c r="D43" i="9" s="1"/>
  <c r="T18" i="9" l="1"/>
  <c r="T31" i="9"/>
  <c r="T26" i="9"/>
  <c r="T32" i="9"/>
  <c r="T23" i="9"/>
  <c r="T33" i="9"/>
  <c r="T27" i="9"/>
  <c r="T39" i="9"/>
  <c r="T22" i="9"/>
  <c r="T41" i="9"/>
  <c r="T35" i="9"/>
  <c r="T40" i="9"/>
  <c r="T29" i="9"/>
  <c r="T34" i="9"/>
  <c r="T20" i="9"/>
  <c r="T21" i="9"/>
  <c r="T19" i="9"/>
  <c r="T24" i="9"/>
  <c r="T25" i="9"/>
  <c r="T37" i="9"/>
  <c r="T42" i="9"/>
  <c r="T28" i="9"/>
  <c r="T38" i="9"/>
  <c r="T36" i="9"/>
  <c r="T30" i="9"/>
  <c r="T467" i="4"/>
  <c r="S467" i="4"/>
  <c r="O467" i="4" s="1"/>
  <c r="R467" i="4"/>
  <c r="N467" i="4" s="1"/>
  <c r="Q467" i="4"/>
  <c r="M467" i="4" s="1"/>
  <c r="K467" i="4"/>
  <c r="Z467" i="4" s="1"/>
  <c r="T466" i="4"/>
  <c r="S466" i="4"/>
  <c r="O466" i="4" s="1"/>
  <c r="R466" i="4"/>
  <c r="N466" i="4" s="1"/>
  <c r="Q466" i="4"/>
  <c r="M466" i="4" s="1"/>
  <c r="K466" i="4"/>
  <c r="Z466" i="4" s="1"/>
  <c r="T465" i="4"/>
  <c r="S465" i="4"/>
  <c r="O465" i="4" s="1"/>
  <c r="R465" i="4"/>
  <c r="N465" i="4" s="1"/>
  <c r="Q465" i="4"/>
  <c r="M465" i="4" s="1"/>
  <c r="K465" i="4"/>
  <c r="Z465" i="4" s="1"/>
  <c r="T464" i="4"/>
  <c r="S464" i="4"/>
  <c r="O464" i="4" s="1"/>
  <c r="R464" i="4"/>
  <c r="N464" i="4" s="1"/>
  <c r="Q464" i="4"/>
  <c r="M464" i="4" s="1"/>
  <c r="K464" i="4"/>
  <c r="Z464" i="4" s="1"/>
  <c r="T463" i="4"/>
  <c r="S463" i="4"/>
  <c r="O463" i="4" s="1"/>
  <c r="R463" i="4"/>
  <c r="N463" i="4" s="1"/>
  <c r="Q463" i="4"/>
  <c r="M463" i="4" s="1"/>
  <c r="K463" i="4"/>
  <c r="Z463" i="4" s="1"/>
  <c r="T462" i="4"/>
  <c r="S462" i="4"/>
  <c r="O462" i="4" s="1"/>
  <c r="R462" i="4"/>
  <c r="N462" i="4" s="1"/>
  <c r="Q462" i="4"/>
  <c r="M462" i="4" s="1"/>
  <c r="K462" i="4"/>
  <c r="Z462" i="4" s="1"/>
  <c r="T461" i="4"/>
  <c r="S461" i="4"/>
  <c r="O461" i="4" s="1"/>
  <c r="R461" i="4"/>
  <c r="N461" i="4" s="1"/>
  <c r="Q461" i="4"/>
  <c r="M461" i="4" s="1"/>
  <c r="K461" i="4"/>
  <c r="Z461" i="4" s="1"/>
  <c r="T460" i="4"/>
  <c r="S460" i="4"/>
  <c r="O460" i="4" s="1"/>
  <c r="R460" i="4"/>
  <c r="N460" i="4" s="1"/>
  <c r="Q460" i="4"/>
  <c r="M460" i="4" s="1"/>
  <c r="K460" i="4"/>
  <c r="Z460" i="4" s="1"/>
  <c r="T459" i="4"/>
  <c r="S459" i="4"/>
  <c r="O459" i="4" s="1"/>
  <c r="R459" i="4"/>
  <c r="N459" i="4" s="1"/>
  <c r="Q459" i="4"/>
  <c r="M459" i="4" s="1"/>
  <c r="K459" i="4"/>
  <c r="Z459" i="4" s="1"/>
  <c r="T458" i="4"/>
  <c r="S458" i="4"/>
  <c r="O458" i="4" s="1"/>
  <c r="R458" i="4"/>
  <c r="N458" i="4" s="1"/>
  <c r="Q458" i="4"/>
  <c r="M458" i="4" s="1"/>
  <c r="K458" i="4"/>
  <c r="Z458" i="4" s="1"/>
  <c r="T457" i="4"/>
  <c r="S457" i="4"/>
  <c r="O457" i="4" s="1"/>
  <c r="R457" i="4"/>
  <c r="N457" i="4" s="1"/>
  <c r="Q457" i="4"/>
  <c r="M457" i="4" s="1"/>
  <c r="P457" i="4"/>
  <c r="L457" i="4" s="1"/>
  <c r="K457" i="4"/>
  <c r="Z457" i="4" s="1"/>
  <c r="T456" i="4"/>
  <c r="S456" i="4"/>
  <c r="O456" i="4" s="1"/>
  <c r="R456" i="4"/>
  <c r="N456" i="4" s="1"/>
  <c r="Q456" i="4"/>
  <c r="M456" i="4" s="1"/>
  <c r="K456" i="4"/>
  <c r="Z456" i="4" s="1"/>
  <c r="T455" i="4"/>
  <c r="S455" i="4"/>
  <c r="O455" i="4" s="1"/>
  <c r="R455" i="4"/>
  <c r="N455" i="4" s="1"/>
  <c r="Q455" i="4"/>
  <c r="M455" i="4" s="1"/>
  <c r="P455" i="4"/>
  <c r="L455" i="4" s="1"/>
  <c r="K455" i="4"/>
  <c r="Z455" i="4" s="1"/>
  <c r="T454" i="4"/>
  <c r="S454" i="4"/>
  <c r="O454" i="4" s="1"/>
  <c r="R454" i="4"/>
  <c r="N454" i="4" s="1"/>
  <c r="Q454" i="4"/>
  <c r="M454" i="4" s="1"/>
  <c r="P454" i="4"/>
  <c r="L454" i="4" s="1"/>
  <c r="K454" i="4"/>
  <c r="Z454" i="4" s="1"/>
  <c r="K381" i="4"/>
  <c r="Z381" i="4" s="1"/>
  <c r="Q381" i="4"/>
  <c r="M381" i="4" s="1"/>
  <c r="R381" i="4"/>
  <c r="N381" i="4" s="1"/>
  <c r="S381" i="4"/>
  <c r="O381" i="4" s="1"/>
  <c r="T381" i="4"/>
  <c r="K382" i="4"/>
  <c r="Z382" i="4" s="1"/>
  <c r="Q382" i="4"/>
  <c r="M382" i="4" s="1"/>
  <c r="R382" i="4"/>
  <c r="N382" i="4" s="1"/>
  <c r="S382" i="4"/>
  <c r="O382" i="4" s="1"/>
  <c r="T382" i="4"/>
  <c r="K383" i="4"/>
  <c r="Z383" i="4" s="1"/>
  <c r="Q383" i="4"/>
  <c r="M383" i="4" s="1"/>
  <c r="R383" i="4"/>
  <c r="N383" i="4" s="1"/>
  <c r="S383" i="4"/>
  <c r="O383" i="4" s="1"/>
  <c r="T383" i="4"/>
  <c r="K384" i="4"/>
  <c r="Z384" i="4" s="1"/>
  <c r="Q384" i="4"/>
  <c r="M384" i="4" s="1"/>
  <c r="R384" i="4"/>
  <c r="N384" i="4" s="1"/>
  <c r="S384" i="4"/>
  <c r="O384" i="4" s="1"/>
  <c r="T384" i="4"/>
  <c r="K385" i="4"/>
  <c r="Z385" i="4" s="1"/>
  <c r="Q385" i="4"/>
  <c r="M385" i="4" s="1"/>
  <c r="R385" i="4"/>
  <c r="N385" i="4" s="1"/>
  <c r="S385" i="4"/>
  <c r="O385" i="4" s="1"/>
  <c r="T385" i="4"/>
  <c r="K386" i="4"/>
  <c r="Z386" i="4" s="1"/>
  <c r="Q386" i="4"/>
  <c r="M386" i="4" s="1"/>
  <c r="R386" i="4"/>
  <c r="N386" i="4" s="1"/>
  <c r="S386" i="4"/>
  <c r="O386" i="4" s="1"/>
  <c r="T386" i="4"/>
  <c r="K387" i="4"/>
  <c r="Z387" i="4" s="1"/>
  <c r="Q387" i="4"/>
  <c r="M387" i="4" s="1"/>
  <c r="R387" i="4"/>
  <c r="N387" i="4" s="1"/>
  <c r="S387" i="4"/>
  <c r="O387" i="4" s="1"/>
  <c r="T387" i="4"/>
  <c r="K388" i="4"/>
  <c r="Z388" i="4" s="1"/>
  <c r="Q388" i="4"/>
  <c r="M388" i="4" s="1"/>
  <c r="R388" i="4"/>
  <c r="N388" i="4" s="1"/>
  <c r="S388" i="4"/>
  <c r="O388" i="4" s="1"/>
  <c r="T388" i="4"/>
  <c r="K389" i="4"/>
  <c r="Z389" i="4" s="1"/>
  <c r="Q389" i="4"/>
  <c r="M389" i="4" s="1"/>
  <c r="R389" i="4"/>
  <c r="N389" i="4" s="1"/>
  <c r="S389" i="4"/>
  <c r="O389" i="4" s="1"/>
  <c r="T389" i="4"/>
  <c r="K390" i="4"/>
  <c r="Z390" i="4" s="1"/>
  <c r="Q390" i="4"/>
  <c r="M390" i="4" s="1"/>
  <c r="R390" i="4"/>
  <c r="N390" i="4" s="1"/>
  <c r="S390" i="4"/>
  <c r="O390" i="4" s="1"/>
  <c r="T390" i="4"/>
  <c r="K391" i="4"/>
  <c r="Z391" i="4" s="1"/>
  <c r="Q391" i="4"/>
  <c r="M391" i="4" s="1"/>
  <c r="R391" i="4"/>
  <c r="N391" i="4" s="1"/>
  <c r="S391" i="4"/>
  <c r="O391" i="4" s="1"/>
  <c r="T391" i="4"/>
  <c r="K392" i="4"/>
  <c r="Z392" i="4" s="1"/>
  <c r="Q392" i="4"/>
  <c r="M392" i="4" s="1"/>
  <c r="R392" i="4"/>
  <c r="N392" i="4" s="1"/>
  <c r="S392" i="4"/>
  <c r="O392" i="4" s="1"/>
  <c r="T392" i="4"/>
  <c r="K393" i="4"/>
  <c r="Z393" i="4" s="1"/>
  <c r="Q393" i="4"/>
  <c r="M393" i="4" s="1"/>
  <c r="R393" i="4"/>
  <c r="N393" i="4" s="1"/>
  <c r="S393" i="4"/>
  <c r="O393" i="4" s="1"/>
  <c r="T393" i="4"/>
  <c r="K394" i="4"/>
  <c r="Z394" i="4" s="1"/>
  <c r="Q394" i="4"/>
  <c r="M394" i="4" s="1"/>
  <c r="R394" i="4"/>
  <c r="N394" i="4" s="1"/>
  <c r="S394" i="4"/>
  <c r="O394" i="4" s="1"/>
  <c r="T394" i="4"/>
  <c r="K395" i="4"/>
  <c r="Z395" i="4" s="1"/>
  <c r="Q395" i="4"/>
  <c r="M395" i="4" s="1"/>
  <c r="R395" i="4"/>
  <c r="N395" i="4" s="1"/>
  <c r="S395" i="4"/>
  <c r="O395" i="4" s="1"/>
  <c r="T395" i="4"/>
  <c r="K396" i="4"/>
  <c r="Z396" i="4" s="1"/>
  <c r="Q396" i="4"/>
  <c r="M396" i="4" s="1"/>
  <c r="R396" i="4"/>
  <c r="N396" i="4" s="1"/>
  <c r="S396" i="4"/>
  <c r="O396" i="4" s="1"/>
  <c r="T396" i="4"/>
  <c r="K397" i="4"/>
  <c r="Z397" i="4" s="1"/>
  <c r="Q397" i="4"/>
  <c r="M397" i="4" s="1"/>
  <c r="R397" i="4"/>
  <c r="N397" i="4" s="1"/>
  <c r="S397" i="4"/>
  <c r="O397" i="4" s="1"/>
  <c r="T397" i="4"/>
  <c r="K398" i="4"/>
  <c r="Z398" i="4" s="1"/>
  <c r="Q398" i="4"/>
  <c r="M398" i="4" s="1"/>
  <c r="R398" i="4"/>
  <c r="N398" i="4" s="1"/>
  <c r="S398" i="4"/>
  <c r="O398" i="4" s="1"/>
  <c r="T398" i="4"/>
  <c r="K399" i="4"/>
  <c r="Z399" i="4" s="1"/>
  <c r="Q399" i="4"/>
  <c r="M399" i="4" s="1"/>
  <c r="R399" i="4"/>
  <c r="N399" i="4" s="1"/>
  <c r="S399" i="4"/>
  <c r="O399" i="4" s="1"/>
  <c r="T399" i="4"/>
  <c r="K400" i="4"/>
  <c r="Z400" i="4" s="1"/>
  <c r="Q400" i="4"/>
  <c r="M400" i="4" s="1"/>
  <c r="R400" i="4"/>
  <c r="N400" i="4" s="1"/>
  <c r="S400" i="4"/>
  <c r="O400" i="4" s="1"/>
  <c r="T400" i="4"/>
  <c r="K401" i="4"/>
  <c r="Z401" i="4" s="1"/>
  <c r="P401" i="4"/>
  <c r="L401" i="4" s="1"/>
  <c r="Q401" i="4"/>
  <c r="M401" i="4" s="1"/>
  <c r="R401" i="4"/>
  <c r="N401" i="4" s="1"/>
  <c r="S401" i="4"/>
  <c r="O401" i="4" s="1"/>
  <c r="T401" i="4"/>
  <c r="K402" i="4"/>
  <c r="Z402" i="4" s="1"/>
  <c r="Q402" i="4"/>
  <c r="M402" i="4" s="1"/>
  <c r="R402" i="4"/>
  <c r="N402" i="4" s="1"/>
  <c r="S402" i="4"/>
  <c r="O402" i="4" s="1"/>
  <c r="T402" i="4"/>
  <c r="K403" i="4"/>
  <c r="Z403" i="4" s="1"/>
  <c r="Q403" i="4"/>
  <c r="M403" i="4" s="1"/>
  <c r="R403" i="4"/>
  <c r="N403" i="4" s="1"/>
  <c r="S403" i="4"/>
  <c r="O403" i="4" s="1"/>
  <c r="T403" i="4"/>
  <c r="K404" i="4"/>
  <c r="Z404" i="4" s="1"/>
  <c r="Q404" i="4"/>
  <c r="M404" i="4" s="1"/>
  <c r="R404" i="4"/>
  <c r="N404" i="4" s="1"/>
  <c r="S404" i="4"/>
  <c r="O404" i="4" s="1"/>
  <c r="T404" i="4"/>
  <c r="K405" i="4"/>
  <c r="Z405" i="4" s="1"/>
  <c r="Q405" i="4"/>
  <c r="M405" i="4" s="1"/>
  <c r="R405" i="4"/>
  <c r="N405" i="4" s="1"/>
  <c r="S405" i="4"/>
  <c r="O405" i="4" s="1"/>
  <c r="T405" i="4"/>
  <c r="K406" i="4"/>
  <c r="Z406" i="4" s="1"/>
  <c r="Q406" i="4"/>
  <c r="M406" i="4" s="1"/>
  <c r="R406" i="4"/>
  <c r="N406" i="4" s="1"/>
  <c r="S406" i="4"/>
  <c r="O406" i="4" s="1"/>
  <c r="T406" i="4"/>
  <c r="K407" i="4"/>
  <c r="Z407" i="4" s="1"/>
  <c r="Q407" i="4"/>
  <c r="M407" i="4" s="1"/>
  <c r="R407" i="4"/>
  <c r="N407" i="4" s="1"/>
  <c r="S407" i="4"/>
  <c r="O407" i="4" s="1"/>
  <c r="T407" i="4"/>
  <c r="K408" i="4"/>
  <c r="Z408" i="4" s="1"/>
  <c r="Q408" i="4"/>
  <c r="M408" i="4" s="1"/>
  <c r="R408" i="4"/>
  <c r="N408" i="4" s="1"/>
  <c r="S408" i="4"/>
  <c r="O408" i="4" s="1"/>
  <c r="T408" i="4"/>
  <c r="K409" i="4"/>
  <c r="Z409" i="4" s="1"/>
  <c r="Q409" i="4"/>
  <c r="M409" i="4" s="1"/>
  <c r="R409" i="4"/>
  <c r="N409" i="4" s="1"/>
  <c r="S409" i="4"/>
  <c r="O409" i="4" s="1"/>
  <c r="T409" i="4"/>
  <c r="K410" i="4"/>
  <c r="Z410" i="4" s="1"/>
  <c r="Q410" i="4"/>
  <c r="M410" i="4" s="1"/>
  <c r="R410" i="4"/>
  <c r="N410" i="4" s="1"/>
  <c r="S410" i="4"/>
  <c r="O410" i="4" s="1"/>
  <c r="T410" i="4"/>
  <c r="K411" i="4"/>
  <c r="Z411" i="4" s="1"/>
  <c r="Q411" i="4"/>
  <c r="M411" i="4" s="1"/>
  <c r="R411" i="4"/>
  <c r="N411" i="4" s="1"/>
  <c r="S411" i="4"/>
  <c r="O411" i="4" s="1"/>
  <c r="T411" i="4"/>
  <c r="K412" i="4"/>
  <c r="Z412" i="4" s="1"/>
  <c r="Q412" i="4"/>
  <c r="M412" i="4" s="1"/>
  <c r="R412" i="4"/>
  <c r="N412" i="4" s="1"/>
  <c r="S412" i="4"/>
  <c r="O412" i="4" s="1"/>
  <c r="T412" i="4"/>
  <c r="K413" i="4"/>
  <c r="Z413" i="4" s="1"/>
  <c r="Q413" i="4"/>
  <c r="M413" i="4" s="1"/>
  <c r="R413" i="4"/>
  <c r="N413" i="4" s="1"/>
  <c r="S413" i="4"/>
  <c r="O413" i="4" s="1"/>
  <c r="T413" i="4"/>
  <c r="K414" i="4"/>
  <c r="Z414" i="4" s="1"/>
  <c r="Q414" i="4"/>
  <c r="M414" i="4" s="1"/>
  <c r="R414" i="4"/>
  <c r="N414" i="4" s="1"/>
  <c r="S414" i="4"/>
  <c r="O414" i="4" s="1"/>
  <c r="T414" i="4"/>
  <c r="K415" i="4"/>
  <c r="Z415" i="4" s="1"/>
  <c r="Q415" i="4"/>
  <c r="M415" i="4" s="1"/>
  <c r="R415" i="4"/>
  <c r="N415" i="4" s="1"/>
  <c r="S415" i="4"/>
  <c r="O415" i="4" s="1"/>
  <c r="T415" i="4"/>
  <c r="K416" i="4"/>
  <c r="Z416" i="4" s="1"/>
  <c r="P416" i="4"/>
  <c r="L416" i="4" s="1"/>
  <c r="Q416" i="4"/>
  <c r="M416" i="4" s="1"/>
  <c r="R416" i="4"/>
  <c r="N416" i="4" s="1"/>
  <c r="S416" i="4"/>
  <c r="O416" i="4" s="1"/>
  <c r="T416" i="4"/>
  <c r="K417" i="4"/>
  <c r="Z417" i="4" s="1"/>
  <c r="P417" i="4"/>
  <c r="L417" i="4" s="1"/>
  <c r="Q417" i="4"/>
  <c r="M417" i="4" s="1"/>
  <c r="R417" i="4"/>
  <c r="N417" i="4" s="1"/>
  <c r="S417" i="4"/>
  <c r="O417" i="4" s="1"/>
  <c r="T417" i="4"/>
  <c r="K418" i="4"/>
  <c r="Z418" i="4" s="1"/>
  <c r="Q418" i="4"/>
  <c r="M418" i="4" s="1"/>
  <c r="R418" i="4"/>
  <c r="N418" i="4" s="1"/>
  <c r="S418" i="4"/>
  <c r="O418" i="4" s="1"/>
  <c r="T418" i="4"/>
  <c r="K419" i="4"/>
  <c r="Z419" i="4" s="1"/>
  <c r="Q419" i="4"/>
  <c r="M419" i="4" s="1"/>
  <c r="R419" i="4"/>
  <c r="N419" i="4" s="1"/>
  <c r="S419" i="4"/>
  <c r="O419" i="4" s="1"/>
  <c r="T419" i="4"/>
  <c r="K420" i="4"/>
  <c r="Z420" i="4" s="1"/>
  <c r="Q420" i="4"/>
  <c r="M420" i="4" s="1"/>
  <c r="R420" i="4"/>
  <c r="N420" i="4" s="1"/>
  <c r="S420" i="4"/>
  <c r="O420" i="4" s="1"/>
  <c r="T420" i="4"/>
  <c r="K421" i="4"/>
  <c r="Z421" i="4" s="1"/>
  <c r="Q421" i="4"/>
  <c r="M421" i="4" s="1"/>
  <c r="R421" i="4"/>
  <c r="N421" i="4" s="1"/>
  <c r="S421" i="4"/>
  <c r="O421" i="4" s="1"/>
  <c r="T421" i="4"/>
  <c r="K422" i="4"/>
  <c r="Z422" i="4" s="1"/>
  <c r="Q422" i="4"/>
  <c r="M422" i="4" s="1"/>
  <c r="R422" i="4"/>
  <c r="N422" i="4" s="1"/>
  <c r="S422" i="4"/>
  <c r="O422" i="4" s="1"/>
  <c r="T422" i="4"/>
  <c r="K423" i="4"/>
  <c r="Z423" i="4" s="1"/>
  <c r="Q423" i="4"/>
  <c r="M423" i="4" s="1"/>
  <c r="R423" i="4"/>
  <c r="N423" i="4" s="1"/>
  <c r="S423" i="4"/>
  <c r="O423" i="4" s="1"/>
  <c r="T423" i="4"/>
  <c r="K424" i="4"/>
  <c r="Z424" i="4" s="1"/>
  <c r="Q424" i="4"/>
  <c r="M424" i="4" s="1"/>
  <c r="R424" i="4"/>
  <c r="N424" i="4" s="1"/>
  <c r="S424" i="4"/>
  <c r="O424" i="4" s="1"/>
  <c r="T424" i="4"/>
  <c r="K425" i="4"/>
  <c r="Z425" i="4" s="1"/>
  <c r="Q425" i="4"/>
  <c r="M425" i="4" s="1"/>
  <c r="R425" i="4"/>
  <c r="N425" i="4" s="1"/>
  <c r="S425" i="4"/>
  <c r="O425" i="4" s="1"/>
  <c r="T425" i="4"/>
  <c r="K426" i="4"/>
  <c r="Z426" i="4" s="1"/>
  <c r="Q426" i="4"/>
  <c r="M426" i="4" s="1"/>
  <c r="R426" i="4"/>
  <c r="N426" i="4" s="1"/>
  <c r="S426" i="4"/>
  <c r="O426" i="4" s="1"/>
  <c r="T426" i="4"/>
  <c r="K427" i="4"/>
  <c r="Z427" i="4" s="1"/>
  <c r="Q427" i="4"/>
  <c r="M427" i="4" s="1"/>
  <c r="R427" i="4"/>
  <c r="N427" i="4" s="1"/>
  <c r="S427" i="4"/>
  <c r="O427" i="4" s="1"/>
  <c r="T427" i="4"/>
  <c r="K428" i="4"/>
  <c r="Z428" i="4" s="1"/>
  <c r="Q428" i="4"/>
  <c r="M428" i="4" s="1"/>
  <c r="R428" i="4"/>
  <c r="N428" i="4" s="1"/>
  <c r="S428" i="4"/>
  <c r="O428" i="4" s="1"/>
  <c r="T428" i="4"/>
  <c r="K434" i="4"/>
  <c r="Z434" i="4" s="1"/>
  <c r="Q434" i="4"/>
  <c r="M434" i="4" s="1"/>
  <c r="R434" i="4"/>
  <c r="N434" i="4" s="1"/>
  <c r="S434" i="4"/>
  <c r="O434" i="4" s="1"/>
  <c r="T434" i="4"/>
  <c r="K435" i="4"/>
  <c r="Z435" i="4" s="1"/>
  <c r="Q435" i="4"/>
  <c r="M435" i="4" s="1"/>
  <c r="R435" i="4"/>
  <c r="N435" i="4" s="1"/>
  <c r="S435" i="4"/>
  <c r="O435" i="4" s="1"/>
  <c r="T435" i="4"/>
  <c r="K436" i="4"/>
  <c r="Z436" i="4" s="1"/>
  <c r="Q436" i="4"/>
  <c r="M436" i="4" s="1"/>
  <c r="R436" i="4"/>
  <c r="N436" i="4" s="1"/>
  <c r="S436" i="4"/>
  <c r="O436" i="4" s="1"/>
  <c r="T436" i="4"/>
  <c r="K437" i="4"/>
  <c r="Z437" i="4" s="1"/>
  <c r="Q437" i="4"/>
  <c r="M437" i="4" s="1"/>
  <c r="R437" i="4"/>
  <c r="N437" i="4" s="1"/>
  <c r="S437" i="4"/>
  <c r="O437" i="4" s="1"/>
  <c r="T437" i="4"/>
  <c r="K438" i="4"/>
  <c r="Z438" i="4" s="1"/>
  <c r="Q438" i="4"/>
  <c r="M438" i="4" s="1"/>
  <c r="R438" i="4"/>
  <c r="N438" i="4" s="1"/>
  <c r="S438" i="4"/>
  <c r="O438" i="4" s="1"/>
  <c r="T438" i="4"/>
  <c r="K439" i="4"/>
  <c r="Z439" i="4" s="1"/>
  <c r="Q439" i="4"/>
  <c r="M439" i="4" s="1"/>
  <c r="R439" i="4"/>
  <c r="N439" i="4" s="1"/>
  <c r="S439" i="4"/>
  <c r="O439" i="4" s="1"/>
  <c r="T439" i="4"/>
  <c r="K440" i="4"/>
  <c r="Z440" i="4" s="1"/>
  <c r="Q440" i="4"/>
  <c r="M440" i="4" s="1"/>
  <c r="R440" i="4"/>
  <c r="N440" i="4" s="1"/>
  <c r="S440" i="4"/>
  <c r="O440" i="4" s="1"/>
  <c r="T440" i="4"/>
  <c r="K441" i="4"/>
  <c r="Z441" i="4" s="1"/>
  <c r="Q441" i="4"/>
  <c r="M441" i="4" s="1"/>
  <c r="R441" i="4"/>
  <c r="N441" i="4" s="1"/>
  <c r="S441" i="4"/>
  <c r="O441" i="4" s="1"/>
  <c r="T441" i="4"/>
  <c r="K442" i="4"/>
  <c r="Z442" i="4" s="1"/>
  <c r="P442" i="4"/>
  <c r="L442" i="4" s="1"/>
  <c r="Q442" i="4"/>
  <c r="M442" i="4" s="1"/>
  <c r="R442" i="4"/>
  <c r="N442" i="4" s="1"/>
  <c r="S442" i="4"/>
  <c r="O442" i="4" s="1"/>
  <c r="T442" i="4"/>
  <c r="K443" i="4"/>
  <c r="Z443" i="4" s="1"/>
  <c r="P443" i="4"/>
  <c r="L443" i="4" s="1"/>
  <c r="Q443" i="4"/>
  <c r="M443" i="4" s="1"/>
  <c r="R443" i="4"/>
  <c r="N443" i="4" s="1"/>
  <c r="S443" i="4"/>
  <c r="O443" i="4" s="1"/>
  <c r="T443" i="4"/>
  <c r="K444" i="4"/>
  <c r="Z444" i="4" s="1"/>
  <c r="Q444" i="4"/>
  <c r="M444" i="4" s="1"/>
  <c r="R444" i="4"/>
  <c r="N444" i="4" s="1"/>
  <c r="S444" i="4"/>
  <c r="O444" i="4" s="1"/>
  <c r="T444" i="4"/>
  <c r="K445" i="4"/>
  <c r="Z445" i="4" s="1"/>
  <c r="Q445" i="4"/>
  <c r="M445" i="4" s="1"/>
  <c r="R445" i="4"/>
  <c r="N445" i="4" s="1"/>
  <c r="S445" i="4"/>
  <c r="O445" i="4" s="1"/>
  <c r="T445" i="4"/>
  <c r="K446" i="4"/>
  <c r="Z446" i="4" s="1"/>
  <c r="Q446" i="4"/>
  <c r="M446" i="4" s="1"/>
  <c r="R446" i="4"/>
  <c r="N446" i="4" s="1"/>
  <c r="S446" i="4"/>
  <c r="O446" i="4" s="1"/>
  <c r="T446" i="4"/>
  <c r="K447" i="4"/>
  <c r="Z447" i="4" s="1"/>
  <c r="Q447" i="4"/>
  <c r="M447" i="4" s="1"/>
  <c r="R447" i="4"/>
  <c r="N447" i="4" s="1"/>
  <c r="S447" i="4"/>
  <c r="O447" i="4" s="1"/>
  <c r="T447" i="4"/>
  <c r="K448" i="4"/>
  <c r="Z448" i="4" s="1"/>
  <c r="Q448" i="4"/>
  <c r="M448" i="4" s="1"/>
  <c r="R448" i="4"/>
  <c r="N448" i="4" s="1"/>
  <c r="S448" i="4"/>
  <c r="O448" i="4" s="1"/>
  <c r="T448" i="4"/>
  <c r="K449" i="4"/>
  <c r="Z449" i="4" s="1"/>
  <c r="Q449" i="4"/>
  <c r="M449" i="4" s="1"/>
  <c r="R449" i="4"/>
  <c r="N449" i="4" s="1"/>
  <c r="S449" i="4"/>
  <c r="O449" i="4" s="1"/>
  <c r="T449" i="4"/>
  <c r="K450" i="4"/>
  <c r="Z450" i="4" s="1"/>
  <c r="Q450" i="4"/>
  <c r="M450" i="4" s="1"/>
  <c r="R450" i="4"/>
  <c r="N450" i="4" s="1"/>
  <c r="S450" i="4"/>
  <c r="O450" i="4" s="1"/>
  <c r="T450" i="4"/>
  <c r="K451" i="4"/>
  <c r="Z451" i="4" s="1"/>
  <c r="Q451" i="4"/>
  <c r="M451" i="4" s="1"/>
  <c r="R451" i="4"/>
  <c r="N451" i="4" s="1"/>
  <c r="S451" i="4"/>
  <c r="O451" i="4" s="1"/>
  <c r="T451" i="4"/>
  <c r="K452" i="4"/>
  <c r="Z452" i="4" s="1"/>
  <c r="Q452" i="4"/>
  <c r="M452" i="4" s="1"/>
  <c r="R452" i="4"/>
  <c r="N452" i="4" s="1"/>
  <c r="S452" i="4"/>
  <c r="O452" i="4" s="1"/>
  <c r="T452" i="4"/>
  <c r="K453" i="4"/>
  <c r="Z453" i="4" s="1"/>
  <c r="Q453" i="4"/>
  <c r="M453" i="4" s="1"/>
  <c r="R453" i="4"/>
  <c r="N453" i="4" s="1"/>
  <c r="S453" i="4"/>
  <c r="O453" i="4" s="1"/>
  <c r="T453" i="4"/>
  <c r="K468" i="4"/>
  <c r="Z468" i="4" s="1"/>
  <c r="Q468" i="4"/>
  <c r="M468" i="4" s="1"/>
  <c r="R468" i="4"/>
  <c r="N468" i="4" s="1"/>
  <c r="S468" i="4"/>
  <c r="O468" i="4" s="1"/>
  <c r="T468" i="4"/>
  <c r="K469" i="4"/>
  <c r="Z469" i="4" s="1"/>
  <c r="Q469" i="4"/>
  <c r="M469" i="4" s="1"/>
  <c r="R469" i="4"/>
  <c r="N469" i="4" s="1"/>
  <c r="S469" i="4"/>
  <c r="O469" i="4" s="1"/>
  <c r="T469" i="4"/>
  <c r="K470" i="4"/>
  <c r="Z470" i="4" s="1"/>
  <c r="Q470" i="4"/>
  <c r="M470" i="4" s="1"/>
  <c r="R470" i="4"/>
  <c r="N470" i="4" s="1"/>
  <c r="S470" i="4"/>
  <c r="O470" i="4" s="1"/>
  <c r="T470" i="4"/>
  <c r="K471" i="4"/>
  <c r="Z471" i="4" s="1"/>
  <c r="Q471" i="4"/>
  <c r="M471" i="4" s="1"/>
  <c r="R471" i="4"/>
  <c r="N471" i="4" s="1"/>
  <c r="S471" i="4"/>
  <c r="O471" i="4" s="1"/>
  <c r="T471" i="4"/>
  <c r="K472" i="4"/>
  <c r="Z472" i="4" s="1"/>
  <c r="Q472" i="4"/>
  <c r="M472" i="4" s="1"/>
  <c r="R472" i="4"/>
  <c r="N472" i="4" s="1"/>
  <c r="S472" i="4"/>
  <c r="O472" i="4" s="1"/>
  <c r="T472" i="4"/>
  <c r="K473" i="4"/>
  <c r="Z473" i="4" s="1"/>
  <c r="Q473" i="4"/>
  <c r="M473" i="4" s="1"/>
  <c r="R473" i="4"/>
  <c r="N473" i="4" s="1"/>
  <c r="S473" i="4"/>
  <c r="O473" i="4" s="1"/>
  <c r="T473" i="4"/>
  <c r="K474" i="4"/>
  <c r="Z474" i="4" s="1"/>
  <c r="Q474" i="4"/>
  <c r="M474" i="4" s="1"/>
  <c r="R474" i="4"/>
  <c r="N474" i="4" s="1"/>
  <c r="S474" i="4"/>
  <c r="O474" i="4" s="1"/>
  <c r="T474" i="4"/>
  <c r="K475" i="4"/>
  <c r="Z475" i="4" s="1"/>
  <c r="Q475" i="4"/>
  <c r="M475" i="4" s="1"/>
  <c r="R475" i="4"/>
  <c r="N475" i="4" s="1"/>
  <c r="S475" i="4"/>
  <c r="O475" i="4" s="1"/>
  <c r="T475" i="4"/>
  <c r="K476" i="4"/>
  <c r="Z476" i="4" s="1"/>
  <c r="P476" i="4"/>
  <c r="L476" i="4" s="1"/>
  <c r="Q476" i="4"/>
  <c r="M476" i="4" s="1"/>
  <c r="R476" i="4"/>
  <c r="N476" i="4" s="1"/>
  <c r="S476" i="4"/>
  <c r="O476" i="4" s="1"/>
  <c r="T476" i="4"/>
  <c r="K477" i="4"/>
  <c r="Z477" i="4" s="1"/>
  <c r="Q477" i="4"/>
  <c r="M477" i="4" s="1"/>
  <c r="R477" i="4"/>
  <c r="N477" i="4" s="1"/>
  <c r="S477" i="4"/>
  <c r="O477" i="4" s="1"/>
  <c r="T477" i="4"/>
  <c r="K478" i="4"/>
  <c r="Z478" i="4" s="1"/>
  <c r="Q478" i="4"/>
  <c r="M478" i="4" s="1"/>
  <c r="R478" i="4"/>
  <c r="N478" i="4" s="1"/>
  <c r="S478" i="4"/>
  <c r="O478" i="4" s="1"/>
  <c r="T478" i="4"/>
  <c r="K479" i="4"/>
  <c r="Z479" i="4" s="1"/>
  <c r="Q479" i="4"/>
  <c r="M479" i="4" s="1"/>
  <c r="R479" i="4"/>
  <c r="N479" i="4" s="1"/>
  <c r="S479" i="4"/>
  <c r="O479" i="4" s="1"/>
  <c r="T479" i="4"/>
  <c r="K480" i="4"/>
  <c r="Z480" i="4" s="1"/>
  <c r="Q480" i="4"/>
  <c r="M480" i="4" s="1"/>
  <c r="R480" i="4"/>
  <c r="N480" i="4" s="1"/>
  <c r="S480" i="4"/>
  <c r="O480" i="4" s="1"/>
  <c r="T480" i="4"/>
  <c r="K481" i="4"/>
  <c r="Z481" i="4" s="1"/>
  <c r="Q481" i="4"/>
  <c r="M481" i="4" s="1"/>
  <c r="R481" i="4"/>
  <c r="N481" i="4" s="1"/>
  <c r="S481" i="4"/>
  <c r="O481" i="4" s="1"/>
  <c r="T481" i="4"/>
  <c r="K482" i="4"/>
  <c r="Z482" i="4" s="1"/>
  <c r="Q482" i="4"/>
  <c r="M482" i="4" s="1"/>
  <c r="R482" i="4"/>
  <c r="N482" i="4" s="1"/>
  <c r="S482" i="4"/>
  <c r="O482" i="4" s="1"/>
  <c r="T482" i="4"/>
  <c r="K483" i="4"/>
  <c r="Z483" i="4" s="1"/>
  <c r="Q483" i="4"/>
  <c r="M483" i="4" s="1"/>
  <c r="R483" i="4"/>
  <c r="N483" i="4" s="1"/>
  <c r="S483" i="4"/>
  <c r="O483" i="4" s="1"/>
  <c r="T483" i="4"/>
  <c r="K484" i="4"/>
  <c r="Z484" i="4" s="1"/>
  <c r="Q484" i="4"/>
  <c r="M484" i="4" s="1"/>
  <c r="R484" i="4"/>
  <c r="N484" i="4" s="1"/>
  <c r="S484" i="4"/>
  <c r="O484" i="4" s="1"/>
  <c r="T484" i="4"/>
  <c r="K485" i="4"/>
  <c r="Z485" i="4" s="1"/>
  <c r="Q485" i="4"/>
  <c r="M485" i="4" s="1"/>
  <c r="R485" i="4"/>
  <c r="N485" i="4" s="1"/>
  <c r="S485" i="4"/>
  <c r="O485" i="4" s="1"/>
  <c r="T485" i="4"/>
  <c r="K486" i="4"/>
  <c r="Z486" i="4" s="1"/>
  <c r="P486" i="4"/>
  <c r="L486" i="4" s="1"/>
  <c r="Q486" i="4"/>
  <c r="M486" i="4" s="1"/>
  <c r="R486" i="4"/>
  <c r="N486" i="4" s="1"/>
  <c r="S486" i="4"/>
  <c r="O486" i="4" s="1"/>
  <c r="T486" i="4"/>
  <c r="K487" i="4"/>
  <c r="Z487" i="4" s="1"/>
  <c r="P487" i="4"/>
  <c r="L487" i="4" s="1"/>
  <c r="Q487" i="4"/>
  <c r="M487" i="4" s="1"/>
  <c r="R487" i="4"/>
  <c r="N487" i="4" s="1"/>
  <c r="S487" i="4"/>
  <c r="O487" i="4" s="1"/>
  <c r="T487" i="4"/>
  <c r="K488" i="4"/>
  <c r="Z488" i="4" s="1"/>
  <c r="Q488" i="4"/>
  <c r="M488" i="4" s="1"/>
  <c r="R488" i="4"/>
  <c r="N488" i="4" s="1"/>
  <c r="S488" i="4"/>
  <c r="O488" i="4" s="1"/>
  <c r="T488" i="4"/>
  <c r="K489" i="4"/>
  <c r="Z489" i="4" s="1"/>
  <c r="Q489" i="4"/>
  <c r="M489" i="4" s="1"/>
  <c r="R489" i="4"/>
  <c r="N489" i="4" s="1"/>
  <c r="S489" i="4"/>
  <c r="O489" i="4" s="1"/>
  <c r="T489" i="4"/>
  <c r="K490" i="4"/>
  <c r="Z490" i="4" s="1"/>
  <c r="Q490" i="4"/>
  <c r="M490" i="4" s="1"/>
  <c r="R490" i="4"/>
  <c r="N490" i="4" s="1"/>
  <c r="S490" i="4"/>
  <c r="O490" i="4" s="1"/>
  <c r="T490" i="4"/>
  <c r="K491" i="4"/>
  <c r="Z491" i="4" s="1"/>
  <c r="P491" i="4"/>
  <c r="L491" i="4" s="1"/>
  <c r="Q491" i="4"/>
  <c r="M491" i="4" s="1"/>
  <c r="R491" i="4"/>
  <c r="N491" i="4" s="1"/>
  <c r="S491" i="4"/>
  <c r="O491" i="4" s="1"/>
  <c r="T491" i="4"/>
  <c r="K492" i="4"/>
  <c r="Z492" i="4" s="1"/>
  <c r="Q492" i="4"/>
  <c r="M492" i="4" s="1"/>
  <c r="R492" i="4"/>
  <c r="N492" i="4" s="1"/>
  <c r="S492" i="4"/>
  <c r="O492" i="4" s="1"/>
  <c r="T492" i="4"/>
  <c r="K493" i="4"/>
  <c r="Z493" i="4" s="1"/>
  <c r="Q493" i="4"/>
  <c r="M493" i="4" s="1"/>
  <c r="R493" i="4"/>
  <c r="N493" i="4" s="1"/>
  <c r="S493" i="4"/>
  <c r="O493" i="4" s="1"/>
  <c r="T493" i="4"/>
  <c r="K494" i="4"/>
  <c r="Z494" i="4" s="1"/>
  <c r="P494" i="4"/>
  <c r="L494" i="4" s="1"/>
  <c r="Q494" i="4"/>
  <c r="M494" i="4" s="1"/>
  <c r="R494" i="4"/>
  <c r="N494" i="4" s="1"/>
  <c r="S494" i="4"/>
  <c r="O494" i="4" s="1"/>
  <c r="T494" i="4"/>
  <c r="K495" i="4"/>
  <c r="Z495" i="4" s="1"/>
  <c r="Q495" i="4"/>
  <c r="M495" i="4" s="1"/>
  <c r="R495" i="4"/>
  <c r="N495" i="4" s="1"/>
  <c r="S495" i="4"/>
  <c r="O495" i="4" s="1"/>
  <c r="T495" i="4"/>
  <c r="K496" i="4"/>
  <c r="Z496" i="4" s="1"/>
  <c r="Q496" i="4"/>
  <c r="M496" i="4" s="1"/>
  <c r="R496" i="4"/>
  <c r="N496" i="4" s="1"/>
  <c r="S496" i="4"/>
  <c r="O496" i="4" s="1"/>
  <c r="T496" i="4"/>
  <c r="K497" i="4"/>
  <c r="Z497" i="4" s="1"/>
  <c r="P497" i="4"/>
  <c r="L497" i="4" s="1"/>
  <c r="Q497" i="4"/>
  <c r="M497" i="4" s="1"/>
  <c r="R497" i="4"/>
  <c r="N497" i="4" s="1"/>
  <c r="S497" i="4"/>
  <c r="O497" i="4" s="1"/>
  <c r="T497" i="4"/>
  <c r="K498" i="4"/>
  <c r="Z498" i="4" s="1"/>
  <c r="Q498" i="4"/>
  <c r="M498" i="4" s="1"/>
  <c r="R498" i="4"/>
  <c r="N498" i="4" s="1"/>
  <c r="S498" i="4"/>
  <c r="O498" i="4" s="1"/>
  <c r="T498" i="4"/>
  <c r="K499" i="4"/>
  <c r="Z499" i="4" s="1"/>
  <c r="P499" i="4"/>
  <c r="L499" i="4" s="1"/>
  <c r="Q499" i="4"/>
  <c r="M499" i="4" s="1"/>
  <c r="R499" i="4"/>
  <c r="N499" i="4" s="1"/>
  <c r="S499" i="4"/>
  <c r="O499" i="4" s="1"/>
  <c r="T499" i="4"/>
  <c r="K500" i="4"/>
  <c r="Z500" i="4" s="1"/>
  <c r="Q500" i="4"/>
  <c r="M500" i="4" s="1"/>
  <c r="R500" i="4"/>
  <c r="N500" i="4" s="1"/>
  <c r="S500" i="4"/>
  <c r="O500" i="4" s="1"/>
  <c r="T500" i="4"/>
  <c r="K501" i="4"/>
  <c r="Z501" i="4" s="1"/>
  <c r="P501" i="4"/>
  <c r="L501" i="4" s="1"/>
  <c r="Q501" i="4"/>
  <c r="M501" i="4" s="1"/>
  <c r="R501" i="4"/>
  <c r="N501" i="4" s="1"/>
  <c r="S501" i="4"/>
  <c r="O501" i="4" s="1"/>
  <c r="T501" i="4"/>
  <c r="K502" i="4"/>
  <c r="Z502" i="4" s="1"/>
  <c r="Q502" i="4"/>
  <c r="M502" i="4" s="1"/>
  <c r="R502" i="4"/>
  <c r="N502" i="4" s="1"/>
  <c r="S502" i="4"/>
  <c r="O502" i="4" s="1"/>
  <c r="T502" i="4"/>
  <c r="K503" i="4"/>
  <c r="Z503" i="4" s="1"/>
  <c r="P503" i="4"/>
  <c r="L503" i="4" s="1"/>
  <c r="Q503" i="4"/>
  <c r="M503" i="4" s="1"/>
  <c r="R503" i="4"/>
  <c r="N503" i="4" s="1"/>
  <c r="S503" i="4"/>
  <c r="O503" i="4" s="1"/>
  <c r="T503" i="4"/>
  <c r="K504" i="4"/>
  <c r="Z504" i="4" s="1"/>
  <c r="P504" i="4"/>
  <c r="L504" i="4" s="1"/>
  <c r="Q504" i="4"/>
  <c r="M504" i="4" s="1"/>
  <c r="R504" i="4"/>
  <c r="N504" i="4" s="1"/>
  <c r="S504" i="4"/>
  <c r="O504" i="4" s="1"/>
  <c r="T504" i="4"/>
  <c r="K505" i="4"/>
  <c r="Z505" i="4" s="1"/>
  <c r="P505" i="4"/>
  <c r="L505" i="4" s="1"/>
  <c r="Q505" i="4"/>
  <c r="M505" i="4" s="1"/>
  <c r="R505" i="4"/>
  <c r="N505" i="4" s="1"/>
  <c r="S505" i="4"/>
  <c r="O505" i="4" s="1"/>
  <c r="T505" i="4"/>
  <c r="K506" i="4"/>
  <c r="Z506" i="4" s="1"/>
  <c r="P506" i="4"/>
  <c r="L506" i="4" s="1"/>
  <c r="Q506" i="4"/>
  <c r="M506" i="4" s="1"/>
  <c r="R506" i="4"/>
  <c r="N506" i="4" s="1"/>
  <c r="S506" i="4"/>
  <c r="O506" i="4" s="1"/>
  <c r="T506" i="4"/>
  <c r="K507" i="4"/>
  <c r="Z507" i="4" s="1"/>
  <c r="P507" i="4"/>
  <c r="L507" i="4" s="1"/>
  <c r="Q507" i="4"/>
  <c r="M507" i="4" s="1"/>
  <c r="R507" i="4"/>
  <c r="N507" i="4" s="1"/>
  <c r="S507" i="4"/>
  <c r="O507" i="4" s="1"/>
  <c r="T507" i="4"/>
  <c r="K508" i="4"/>
  <c r="Z508" i="4" s="1"/>
  <c r="P508" i="4"/>
  <c r="L508" i="4" s="1"/>
  <c r="Q508" i="4"/>
  <c r="M508" i="4" s="1"/>
  <c r="R508" i="4"/>
  <c r="N508" i="4" s="1"/>
  <c r="S508" i="4"/>
  <c r="O508" i="4" s="1"/>
  <c r="T508" i="4"/>
  <c r="K509" i="4"/>
  <c r="Z509" i="4" s="1"/>
  <c r="P509" i="4"/>
  <c r="L509" i="4" s="1"/>
  <c r="Q509" i="4"/>
  <c r="M509" i="4" s="1"/>
  <c r="R509" i="4"/>
  <c r="N509" i="4" s="1"/>
  <c r="S509" i="4"/>
  <c r="O509" i="4" s="1"/>
  <c r="T509" i="4"/>
  <c r="K510" i="4"/>
  <c r="Z510" i="4" s="1"/>
  <c r="P510" i="4"/>
  <c r="L510" i="4" s="1"/>
  <c r="Q510" i="4"/>
  <c r="M510" i="4" s="1"/>
  <c r="R510" i="4"/>
  <c r="N510" i="4" s="1"/>
  <c r="S510" i="4"/>
  <c r="O510" i="4" s="1"/>
  <c r="T510" i="4"/>
  <c r="K511" i="4"/>
  <c r="Z511" i="4" s="1"/>
  <c r="P511" i="4"/>
  <c r="L511" i="4" s="1"/>
  <c r="Q511" i="4"/>
  <c r="M511" i="4" s="1"/>
  <c r="R511" i="4"/>
  <c r="N511" i="4" s="1"/>
  <c r="S511" i="4"/>
  <c r="O511" i="4" s="1"/>
  <c r="T511" i="4"/>
  <c r="K512" i="4"/>
  <c r="Z512" i="4" s="1"/>
  <c r="P512" i="4"/>
  <c r="L512" i="4" s="1"/>
  <c r="Q512" i="4"/>
  <c r="M512" i="4" s="1"/>
  <c r="R512" i="4"/>
  <c r="N512" i="4" s="1"/>
  <c r="S512" i="4"/>
  <c r="O512" i="4" s="1"/>
  <c r="T512" i="4"/>
  <c r="K513" i="4"/>
  <c r="Z513" i="4" s="1"/>
  <c r="P513" i="4"/>
  <c r="L513" i="4" s="1"/>
  <c r="Q513" i="4"/>
  <c r="M513" i="4" s="1"/>
  <c r="R513" i="4"/>
  <c r="N513" i="4" s="1"/>
  <c r="S513" i="4"/>
  <c r="O513" i="4" s="1"/>
  <c r="T513" i="4"/>
  <c r="K514" i="4"/>
  <c r="Z514" i="4" s="1"/>
  <c r="P514" i="4"/>
  <c r="L514" i="4" s="1"/>
  <c r="Q514" i="4"/>
  <c r="M514" i="4" s="1"/>
  <c r="R514" i="4"/>
  <c r="N514" i="4" s="1"/>
  <c r="S514" i="4"/>
  <c r="O514" i="4" s="1"/>
  <c r="T514" i="4"/>
  <c r="K515" i="4"/>
  <c r="Z515" i="4" s="1"/>
  <c r="P515" i="4"/>
  <c r="L515" i="4" s="1"/>
  <c r="Q515" i="4"/>
  <c r="M515" i="4" s="1"/>
  <c r="R515" i="4"/>
  <c r="N515" i="4" s="1"/>
  <c r="S515" i="4"/>
  <c r="O515" i="4" s="1"/>
  <c r="T515" i="4"/>
  <c r="K516" i="4"/>
  <c r="Z516" i="4" s="1"/>
  <c r="P516" i="4"/>
  <c r="L516" i="4" s="1"/>
  <c r="Q516" i="4"/>
  <c r="M516" i="4" s="1"/>
  <c r="R516" i="4"/>
  <c r="N516" i="4" s="1"/>
  <c r="S516" i="4"/>
  <c r="O516" i="4" s="1"/>
  <c r="T516" i="4"/>
  <c r="K517" i="4"/>
  <c r="Z517" i="4" s="1"/>
  <c r="P517" i="4"/>
  <c r="L517" i="4" s="1"/>
  <c r="Q517" i="4"/>
  <c r="M517" i="4" s="1"/>
  <c r="R517" i="4"/>
  <c r="N517" i="4" s="1"/>
  <c r="S517" i="4"/>
  <c r="O517" i="4" s="1"/>
  <c r="T517" i="4"/>
  <c r="K518" i="4"/>
  <c r="Z518" i="4" s="1"/>
  <c r="P518" i="4"/>
  <c r="L518" i="4" s="1"/>
  <c r="Q518" i="4"/>
  <c r="M518" i="4" s="1"/>
  <c r="R518" i="4"/>
  <c r="N518" i="4" s="1"/>
  <c r="S518" i="4"/>
  <c r="O518" i="4" s="1"/>
  <c r="T518" i="4"/>
  <c r="K519" i="4"/>
  <c r="Z519" i="4" s="1"/>
  <c r="P519" i="4"/>
  <c r="L519" i="4" s="1"/>
  <c r="Q519" i="4"/>
  <c r="M519" i="4" s="1"/>
  <c r="R519" i="4"/>
  <c r="N519" i="4" s="1"/>
  <c r="S519" i="4"/>
  <c r="O519" i="4" s="1"/>
  <c r="T519" i="4"/>
  <c r="K520" i="4"/>
  <c r="Z520" i="4" s="1"/>
  <c r="P520" i="4"/>
  <c r="L520" i="4" s="1"/>
  <c r="Q520" i="4"/>
  <c r="M520" i="4" s="1"/>
  <c r="R520" i="4"/>
  <c r="N520" i="4" s="1"/>
  <c r="S520" i="4"/>
  <c r="O520" i="4" s="1"/>
  <c r="T520" i="4"/>
  <c r="K521" i="4"/>
  <c r="Z521" i="4" s="1"/>
  <c r="P521" i="4"/>
  <c r="L521" i="4" s="1"/>
  <c r="Q521" i="4"/>
  <c r="M521" i="4" s="1"/>
  <c r="R521" i="4"/>
  <c r="N521" i="4" s="1"/>
  <c r="S521" i="4"/>
  <c r="O521" i="4" s="1"/>
  <c r="T521" i="4"/>
  <c r="K522" i="4"/>
  <c r="Z522" i="4" s="1"/>
  <c r="P522" i="4"/>
  <c r="L522" i="4" s="1"/>
  <c r="Q522" i="4"/>
  <c r="M522" i="4" s="1"/>
  <c r="R522" i="4"/>
  <c r="N522" i="4" s="1"/>
  <c r="S522" i="4"/>
  <c r="O522" i="4" s="1"/>
  <c r="T522" i="4"/>
  <c r="K523" i="4"/>
  <c r="Z523" i="4" s="1"/>
  <c r="P523" i="4"/>
  <c r="L523" i="4" s="1"/>
  <c r="Q523" i="4"/>
  <c r="M523" i="4" s="1"/>
  <c r="R523" i="4"/>
  <c r="N523" i="4" s="1"/>
  <c r="S523" i="4"/>
  <c r="O523" i="4" s="1"/>
  <c r="T523" i="4"/>
  <c r="K524" i="4"/>
  <c r="Z524" i="4" s="1"/>
  <c r="P524" i="4"/>
  <c r="L524" i="4" s="1"/>
  <c r="Q524" i="4"/>
  <c r="M524" i="4" s="1"/>
  <c r="R524" i="4"/>
  <c r="N524" i="4" s="1"/>
  <c r="S524" i="4"/>
  <c r="O524" i="4" s="1"/>
  <c r="T524" i="4"/>
  <c r="K525" i="4"/>
  <c r="Z525" i="4" s="1"/>
  <c r="P525" i="4"/>
  <c r="L525" i="4" s="1"/>
  <c r="Q525" i="4"/>
  <c r="M525" i="4" s="1"/>
  <c r="R525" i="4"/>
  <c r="N525" i="4" s="1"/>
  <c r="S525" i="4"/>
  <c r="O525" i="4" s="1"/>
  <c r="T525" i="4"/>
  <c r="K526" i="4"/>
  <c r="Z526" i="4" s="1"/>
  <c r="P526" i="4"/>
  <c r="L526" i="4" s="1"/>
  <c r="Q526" i="4"/>
  <c r="M526" i="4" s="1"/>
  <c r="R526" i="4"/>
  <c r="N526" i="4" s="1"/>
  <c r="S526" i="4"/>
  <c r="O526" i="4" s="1"/>
  <c r="T526" i="4"/>
  <c r="K527" i="4"/>
  <c r="Z527" i="4" s="1"/>
  <c r="P527" i="4"/>
  <c r="L527" i="4" s="1"/>
  <c r="Q527" i="4"/>
  <c r="M527" i="4" s="1"/>
  <c r="R527" i="4"/>
  <c r="N527" i="4" s="1"/>
  <c r="S527" i="4"/>
  <c r="O527" i="4" s="1"/>
  <c r="T527" i="4"/>
  <c r="K528" i="4"/>
  <c r="Z528" i="4" s="1"/>
  <c r="P528" i="4"/>
  <c r="L528" i="4" s="1"/>
  <c r="Q528" i="4"/>
  <c r="M528" i="4" s="1"/>
  <c r="R528" i="4"/>
  <c r="N528" i="4" s="1"/>
  <c r="S528" i="4"/>
  <c r="O528" i="4" s="1"/>
  <c r="T528" i="4"/>
  <c r="K529" i="4"/>
  <c r="Z529" i="4" s="1"/>
  <c r="P529" i="4"/>
  <c r="L529" i="4" s="1"/>
  <c r="Q529" i="4"/>
  <c r="M529" i="4" s="1"/>
  <c r="R529" i="4"/>
  <c r="N529" i="4" s="1"/>
  <c r="S529" i="4"/>
  <c r="O529" i="4" s="1"/>
  <c r="T529" i="4"/>
  <c r="K530" i="4"/>
  <c r="Z530" i="4" s="1"/>
  <c r="P530" i="4"/>
  <c r="L530" i="4" s="1"/>
  <c r="Q530" i="4"/>
  <c r="M530" i="4" s="1"/>
  <c r="R530" i="4"/>
  <c r="N530" i="4" s="1"/>
  <c r="S530" i="4"/>
  <c r="O530" i="4" s="1"/>
  <c r="T530" i="4"/>
  <c r="K531" i="4"/>
  <c r="Z531" i="4" s="1"/>
  <c r="P531" i="4"/>
  <c r="L531" i="4" s="1"/>
  <c r="Q531" i="4"/>
  <c r="M531" i="4" s="1"/>
  <c r="R531" i="4"/>
  <c r="N531" i="4" s="1"/>
  <c r="S531" i="4"/>
  <c r="O531" i="4" s="1"/>
  <c r="T531" i="4"/>
  <c r="K532" i="4"/>
  <c r="Z532" i="4" s="1"/>
  <c r="P532" i="4"/>
  <c r="L532" i="4" s="1"/>
  <c r="Q532" i="4"/>
  <c r="M532" i="4" s="1"/>
  <c r="R532" i="4"/>
  <c r="N532" i="4" s="1"/>
  <c r="S532" i="4"/>
  <c r="O532" i="4" s="1"/>
  <c r="T532" i="4"/>
  <c r="K533" i="4"/>
  <c r="Z533" i="4" s="1"/>
  <c r="P533" i="4"/>
  <c r="L533" i="4" s="1"/>
  <c r="Q533" i="4"/>
  <c r="M533" i="4" s="1"/>
  <c r="R533" i="4"/>
  <c r="N533" i="4" s="1"/>
  <c r="S533" i="4"/>
  <c r="O533" i="4" s="1"/>
  <c r="T533" i="4"/>
  <c r="Z534" i="4"/>
  <c r="Q534" i="4"/>
  <c r="M534" i="4" s="1"/>
  <c r="R534" i="4"/>
  <c r="N534" i="4" s="1"/>
  <c r="S534" i="4"/>
  <c r="O534" i="4" s="1"/>
  <c r="T534" i="4"/>
  <c r="K535" i="4"/>
  <c r="Z535" i="4" s="1"/>
  <c r="Q535" i="4"/>
  <c r="M535" i="4" s="1"/>
  <c r="R535" i="4"/>
  <c r="N535" i="4" s="1"/>
  <c r="S535" i="4"/>
  <c r="O535" i="4" s="1"/>
  <c r="T535" i="4"/>
  <c r="K536" i="4"/>
  <c r="Z536" i="4" s="1"/>
  <c r="Q536" i="4"/>
  <c r="M536" i="4" s="1"/>
  <c r="R536" i="4"/>
  <c r="N536" i="4" s="1"/>
  <c r="S536" i="4"/>
  <c r="O536" i="4" s="1"/>
  <c r="T536" i="4"/>
  <c r="K537" i="4"/>
  <c r="Z537" i="4" s="1"/>
  <c r="Q537" i="4"/>
  <c r="M537" i="4" s="1"/>
  <c r="R537" i="4"/>
  <c r="N537" i="4" s="1"/>
  <c r="S537" i="4"/>
  <c r="O537" i="4" s="1"/>
  <c r="T537" i="4"/>
  <c r="K538" i="4"/>
  <c r="Z538" i="4" s="1"/>
  <c r="Q538" i="4"/>
  <c r="M538" i="4" s="1"/>
  <c r="R538" i="4"/>
  <c r="N538" i="4" s="1"/>
  <c r="S538" i="4"/>
  <c r="O538" i="4" s="1"/>
  <c r="T538" i="4"/>
  <c r="K539" i="4"/>
  <c r="Z539" i="4" s="1"/>
  <c r="Q539" i="4"/>
  <c r="M539" i="4" s="1"/>
  <c r="R539" i="4"/>
  <c r="N539" i="4" s="1"/>
  <c r="S539" i="4"/>
  <c r="O539" i="4" s="1"/>
  <c r="T539" i="4"/>
  <c r="K540" i="4"/>
  <c r="Z540" i="4" s="1"/>
  <c r="Q540" i="4"/>
  <c r="M540" i="4" s="1"/>
  <c r="R540" i="4"/>
  <c r="N540" i="4" s="1"/>
  <c r="S540" i="4"/>
  <c r="O540" i="4" s="1"/>
  <c r="T540" i="4"/>
  <c r="K541" i="4"/>
  <c r="Z541" i="4" s="1"/>
  <c r="Q541" i="4"/>
  <c r="M541" i="4" s="1"/>
  <c r="R541" i="4"/>
  <c r="N541" i="4" s="1"/>
  <c r="S541" i="4"/>
  <c r="O541" i="4" s="1"/>
  <c r="T541" i="4"/>
  <c r="K542" i="4"/>
  <c r="Z542" i="4" s="1"/>
  <c r="Q542" i="4"/>
  <c r="M542" i="4" s="1"/>
  <c r="R542" i="4"/>
  <c r="N542" i="4" s="1"/>
  <c r="S542" i="4"/>
  <c r="O542" i="4" s="1"/>
  <c r="T542" i="4"/>
  <c r="K543" i="4"/>
  <c r="Z543" i="4" s="1"/>
  <c r="P543" i="4"/>
  <c r="L543" i="4" s="1"/>
  <c r="Q543" i="4"/>
  <c r="M543" i="4" s="1"/>
  <c r="R543" i="4"/>
  <c r="N543" i="4" s="1"/>
  <c r="S543" i="4"/>
  <c r="O543" i="4" s="1"/>
  <c r="T543" i="4"/>
  <c r="K544" i="4"/>
  <c r="Z544" i="4" s="1"/>
  <c r="Q544" i="4"/>
  <c r="M544" i="4" s="1"/>
  <c r="R544" i="4"/>
  <c r="N544" i="4" s="1"/>
  <c r="S544" i="4"/>
  <c r="O544" i="4" s="1"/>
  <c r="T544" i="4"/>
  <c r="K545" i="4"/>
  <c r="Z545" i="4" s="1"/>
  <c r="Q545" i="4"/>
  <c r="M545" i="4" s="1"/>
  <c r="R545" i="4"/>
  <c r="N545" i="4" s="1"/>
  <c r="S545" i="4"/>
  <c r="O545" i="4" s="1"/>
  <c r="T545" i="4"/>
  <c r="K546" i="4"/>
  <c r="Z546" i="4" s="1"/>
  <c r="Q546" i="4"/>
  <c r="M546" i="4" s="1"/>
  <c r="R546" i="4"/>
  <c r="N546" i="4" s="1"/>
  <c r="S546" i="4"/>
  <c r="O546" i="4" s="1"/>
  <c r="T546" i="4"/>
  <c r="K547" i="4"/>
  <c r="Z547" i="4" s="1"/>
  <c r="Q547" i="4"/>
  <c r="M547" i="4" s="1"/>
  <c r="R547" i="4"/>
  <c r="N547" i="4" s="1"/>
  <c r="S547" i="4"/>
  <c r="O547" i="4" s="1"/>
  <c r="T547" i="4"/>
  <c r="K548" i="4"/>
  <c r="Z548" i="4" s="1"/>
  <c r="P548" i="4"/>
  <c r="L548" i="4" s="1"/>
  <c r="Q548" i="4"/>
  <c r="M548" i="4" s="1"/>
  <c r="R548" i="4"/>
  <c r="N548" i="4" s="1"/>
  <c r="S548" i="4"/>
  <c r="O548" i="4" s="1"/>
  <c r="T548" i="4"/>
  <c r="K549" i="4"/>
  <c r="Z549" i="4" s="1"/>
  <c r="Q549" i="4"/>
  <c r="M549" i="4" s="1"/>
  <c r="R549" i="4"/>
  <c r="N549" i="4" s="1"/>
  <c r="S549" i="4"/>
  <c r="O549" i="4" s="1"/>
  <c r="T549" i="4"/>
  <c r="K550" i="4"/>
  <c r="Z550" i="4" s="1"/>
  <c r="Q550" i="4"/>
  <c r="M550" i="4" s="1"/>
  <c r="R550" i="4"/>
  <c r="N550" i="4" s="1"/>
  <c r="S550" i="4"/>
  <c r="O550" i="4" s="1"/>
  <c r="T550" i="4"/>
  <c r="K551" i="4"/>
  <c r="Z551" i="4" s="1"/>
  <c r="P551" i="4"/>
  <c r="L551" i="4" s="1"/>
  <c r="Q551" i="4"/>
  <c r="M551" i="4" s="1"/>
  <c r="R551" i="4"/>
  <c r="N551" i="4" s="1"/>
  <c r="S551" i="4"/>
  <c r="O551" i="4" s="1"/>
  <c r="T551" i="4"/>
  <c r="AA501" i="4" l="1"/>
  <c r="AA443" i="4"/>
  <c r="AA454" i="4"/>
  <c r="AA526" i="4"/>
  <c r="AA510" i="4"/>
  <c r="AA522" i="4"/>
  <c r="AA476" i="4"/>
  <c r="AA518" i="4"/>
  <c r="AA514" i="4"/>
  <c r="AA551" i="4"/>
  <c r="AA533" i="4"/>
  <c r="AA529" i="4"/>
  <c r="AA525" i="4"/>
  <c r="AA521" i="4"/>
  <c r="AA517" i="4"/>
  <c r="AA513" i="4"/>
  <c r="AA509" i="4"/>
  <c r="AA505" i="4"/>
  <c r="AA486" i="4"/>
  <c r="AA401" i="4"/>
  <c r="AA457" i="4"/>
  <c r="AA442" i="4"/>
  <c r="AA530" i="4"/>
  <c r="AA506" i="4"/>
  <c r="AA499" i="4"/>
  <c r="AA487" i="4"/>
  <c r="AA531" i="4"/>
  <c r="AA527" i="4"/>
  <c r="AA523" i="4"/>
  <c r="AA519" i="4"/>
  <c r="AA515" i="4"/>
  <c r="AA511" i="4"/>
  <c r="AA507" i="4"/>
  <c r="AA503" i="4"/>
  <c r="AA416" i="4"/>
  <c r="AA548" i="4"/>
  <c r="AA543" i="4"/>
  <c r="AA497" i="4"/>
  <c r="AA494" i="4"/>
  <c r="AA491" i="4"/>
  <c r="AA455" i="4"/>
  <c r="AA532" i="4"/>
  <c r="AA528" i="4"/>
  <c r="AA524" i="4"/>
  <c r="AA520" i="4"/>
  <c r="AA516" i="4"/>
  <c r="AA512" i="4"/>
  <c r="AA508" i="4"/>
  <c r="AA504" i="4"/>
  <c r="AA417" i="4"/>
  <c r="K9" i="4"/>
  <c r="Z9" i="4" s="1"/>
  <c r="Q9" i="4"/>
  <c r="M9" i="4" s="1"/>
  <c r="R9" i="4"/>
  <c r="N9" i="4" s="1"/>
  <c r="S9" i="4"/>
  <c r="O9" i="4" s="1"/>
  <c r="T9" i="4"/>
  <c r="I38" i="12" l="1"/>
  <c r="E42" i="13"/>
  <c r="E40" i="13"/>
  <c r="E39" i="13"/>
  <c r="E38" i="13"/>
  <c r="E37" i="13"/>
  <c r="E36" i="13"/>
  <c r="E35" i="13"/>
  <c r="B7" i="2"/>
  <c r="G14" i="11"/>
  <c r="G24" i="11"/>
  <c r="G32" i="11" l="1"/>
  <c r="G25" i="11"/>
  <c r="G23" i="11"/>
  <c r="G21" i="11"/>
  <c r="G20" i="11"/>
  <c r="G19" i="11"/>
  <c r="G16" i="11"/>
  <c r="G15" i="11"/>
  <c r="I14" i="13"/>
  <c r="J14" i="13"/>
  <c r="K14" i="13"/>
  <c r="L14" i="13"/>
  <c r="M14" i="13"/>
  <c r="N14" i="13"/>
  <c r="I15" i="13"/>
  <c r="J15" i="13"/>
  <c r="K15" i="13"/>
  <c r="L15" i="13"/>
  <c r="M15" i="13"/>
  <c r="N15" i="13"/>
  <c r="I16" i="13"/>
  <c r="J16" i="13"/>
  <c r="K16" i="13"/>
  <c r="L16" i="13"/>
  <c r="M16" i="13"/>
  <c r="N16" i="13"/>
  <c r="I17" i="13"/>
  <c r="J17" i="13"/>
  <c r="K17" i="13"/>
  <c r="L17" i="13"/>
  <c r="M17" i="13"/>
  <c r="N17" i="13"/>
  <c r="C106" i="8"/>
  <c r="C105" i="8"/>
  <c r="C86" i="8"/>
  <c r="C85" i="8"/>
  <c r="C66" i="8"/>
  <c r="C65" i="8"/>
  <c r="C46" i="8"/>
  <c r="C45" i="8"/>
  <c r="G17" i="11" l="1"/>
  <c r="B9" i="13"/>
  <c r="B8" i="13"/>
  <c r="B7" i="13"/>
  <c r="B6" i="13"/>
  <c r="B5" i="13"/>
  <c r="B3" i="13"/>
  <c r="A4" i="13"/>
  <c r="A5" i="13"/>
  <c r="A6" i="13"/>
  <c r="A7" i="13"/>
  <c r="A8" i="13"/>
  <c r="A9" i="13"/>
  <c r="A3" i="13"/>
  <c r="E30" i="13"/>
  <c r="E29" i="13"/>
  <c r="C19" i="13"/>
  <c r="C18" i="13"/>
  <c r="B9" i="12" l="1"/>
  <c r="B8" i="12"/>
  <c r="B7" i="12"/>
  <c r="B6" i="12"/>
  <c r="B5" i="12"/>
  <c r="B3" i="12"/>
  <c r="A4" i="12"/>
  <c r="A5" i="12"/>
  <c r="A6" i="12"/>
  <c r="A7" i="12"/>
  <c r="A8" i="12"/>
  <c r="A9" i="12"/>
  <c r="A3" i="12"/>
  <c r="B4" i="11"/>
  <c r="B5" i="11"/>
  <c r="B6" i="11"/>
  <c r="B7" i="11"/>
  <c r="B8" i="11"/>
  <c r="A4" i="11"/>
  <c r="A5" i="11"/>
  <c r="A6" i="11"/>
  <c r="A7" i="11"/>
  <c r="A8" i="11"/>
  <c r="A9" i="11"/>
  <c r="A3" i="11"/>
  <c r="B3" i="11"/>
  <c r="N34" i="13"/>
  <c r="M34" i="13"/>
  <c r="L34" i="13"/>
  <c r="K34" i="13"/>
  <c r="J34" i="13"/>
  <c r="I34" i="13"/>
  <c r="N33" i="13"/>
  <c r="M33" i="13"/>
  <c r="L33" i="13"/>
  <c r="K33" i="13"/>
  <c r="J33" i="13"/>
  <c r="I33" i="13"/>
  <c r="N32" i="13"/>
  <c r="M32" i="13"/>
  <c r="L32" i="13"/>
  <c r="K32" i="13"/>
  <c r="J32" i="13"/>
  <c r="I32" i="13"/>
  <c r="N31" i="13"/>
  <c r="M31" i="13"/>
  <c r="L31" i="13"/>
  <c r="K31" i="13"/>
  <c r="J31" i="13"/>
  <c r="I31" i="13"/>
  <c r="N26" i="13"/>
  <c r="M26" i="13"/>
  <c r="L26" i="13"/>
  <c r="K26" i="13"/>
  <c r="J26" i="13"/>
  <c r="I26" i="13"/>
  <c r="B4" i="13"/>
  <c r="N46" i="12"/>
  <c r="M46" i="12"/>
  <c r="L46" i="12"/>
  <c r="K46" i="12"/>
  <c r="J46" i="12"/>
  <c r="I46" i="12"/>
  <c r="N45" i="12"/>
  <c r="M45" i="12"/>
  <c r="L45" i="12"/>
  <c r="K45" i="12"/>
  <c r="J45" i="12"/>
  <c r="I45" i="12"/>
  <c r="N44" i="12"/>
  <c r="M44" i="12"/>
  <c r="L44" i="12"/>
  <c r="K44" i="12"/>
  <c r="J44" i="12"/>
  <c r="I44" i="12"/>
  <c r="N43" i="12"/>
  <c r="M43" i="12"/>
  <c r="L43" i="12"/>
  <c r="K43" i="12"/>
  <c r="J43" i="12"/>
  <c r="I43" i="12"/>
  <c r="N40" i="12"/>
  <c r="M40" i="12"/>
  <c r="L40" i="12"/>
  <c r="K40" i="12"/>
  <c r="J40" i="12"/>
  <c r="I40" i="12"/>
  <c r="N39" i="12"/>
  <c r="M39" i="12"/>
  <c r="L39" i="12"/>
  <c r="K39" i="12"/>
  <c r="J39" i="12"/>
  <c r="I39" i="12"/>
  <c r="N38" i="12"/>
  <c r="M38" i="12"/>
  <c r="L38" i="12"/>
  <c r="K38" i="12"/>
  <c r="J38" i="12"/>
  <c r="N34" i="12"/>
  <c r="M34" i="12"/>
  <c r="L34" i="12"/>
  <c r="K34" i="12"/>
  <c r="J34" i="12"/>
  <c r="I34" i="12"/>
  <c r="B54" i="11"/>
  <c r="B43" i="11"/>
  <c r="B49" i="11" s="1"/>
  <c r="B53" i="11" s="1"/>
  <c r="C17" i="11"/>
  <c r="I35" i="13" l="1"/>
  <c r="N47" i="12"/>
  <c r="O34" i="12"/>
  <c r="K47" i="12"/>
  <c r="L47" i="12"/>
  <c r="M35" i="13"/>
  <c r="J35" i="13"/>
  <c r="O26" i="13"/>
  <c r="K35" i="13"/>
  <c r="L35" i="13"/>
  <c r="N35" i="13"/>
  <c r="M47" i="12"/>
  <c r="I47" i="12"/>
  <c r="J47" i="12"/>
  <c r="B51" i="11"/>
  <c r="B52" i="11"/>
  <c r="E13" i="12" l="1"/>
  <c r="E16" i="12" s="1"/>
  <c r="E13" i="13"/>
  <c r="E16" i="13" s="1"/>
  <c r="E19" i="13" s="1"/>
  <c r="B55" i="11"/>
  <c r="E18" i="13" l="1"/>
  <c r="E20" i="13" s="1"/>
  <c r="E22" i="13" s="1"/>
  <c r="G31" i="11" s="1"/>
  <c r="G33" i="11" s="1"/>
  <c r="G36" i="11" s="1"/>
  <c r="G22" i="11" s="1"/>
  <c r="G26" i="11" s="1"/>
  <c r="E23" i="13" s="1"/>
  <c r="E18" i="12"/>
  <c r="E19" i="12"/>
  <c r="E20" i="12" l="1"/>
  <c r="E22" i="12" l="1"/>
  <c r="C31" i="11" s="1"/>
  <c r="C33" i="11" l="1"/>
  <c r="C36" i="11" s="1"/>
  <c r="C22" i="11" s="1"/>
  <c r="C26" i="11" s="1"/>
  <c r="E23" i="12" l="1"/>
  <c r="E24" i="12" s="1"/>
  <c r="E26" i="12" l="1"/>
  <c r="E27" i="12" s="1"/>
  <c r="E33" i="12" s="1"/>
  <c r="E24" i="13"/>
  <c r="E26" i="13" s="1"/>
  <c r="E44" i="12" l="1"/>
  <c r="E27" i="13"/>
  <c r="E33" i="13" l="1"/>
  <c r="E48" i="12"/>
  <c r="F46" i="12" l="1"/>
  <c r="F22" i="1"/>
  <c r="F24" i="12"/>
  <c r="F27" i="12"/>
  <c r="F33" i="12"/>
  <c r="F44" i="12"/>
  <c r="F20" i="12"/>
  <c r="F40" i="12"/>
  <c r="F37" i="12"/>
  <c r="F36" i="12"/>
  <c r="F41" i="12"/>
  <c r="F42" i="12"/>
  <c r="F43" i="12"/>
  <c r="F38" i="12"/>
  <c r="F39" i="12"/>
  <c r="F35" i="12"/>
  <c r="E50" i="12"/>
  <c r="E54" i="12"/>
  <c r="F45" i="1" s="1"/>
  <c r="F43" i="2" s="1"/>
  <c r="E52" i="12"/>
  <c r="F33" i="1" s="1"/>
  <c r="F32" i="2" s="1"/>
  <c r="E44" i="13"/>
  <c r="F48" i="12" l="1"/>
  <c r="E48" i="13"/>
  <c r="F44" i="13" s="1"/>
  <c r="F46" i="13" l="1"/>
  <c r="F48" i="13" s="1"/>
  <c r="F27" i="1"/>
  <c r="F20" i="13"/>
  <c r="F24" i="13"/>
  <c r="F27" i="13"/>
  <c r="F33" i="13"/>
  <c r="F35" i="13"/>
  <c r="F36" i="13"/>
  <c r="F42" i="13"/>
  <c r="F41" i="13"/>
  <c r="F40" i="13"/>
  <c r="F39" i="13"/>
  <c r="F38" i="13"/>
  <c r="F37" i="13"/>
  <c r="E54" i="13"/>
  <c r="F50" i="1" s="1"/>
  <c r="E50" i="13"/>
  <c r="E52" i="13"/>
  <c r="F38" i="1" s="1"/>
  <c r="N17" i="9" l="1"/>
  <c r="T311" i="4"/>
  <c r="S311" i="4"/>
  <c r="O311" i="4" s="1"/>
  <c r="R311" i="4"/>
  <c r="N311" i="4" s="1"/>
  <c r="Q311" i="4"/>
  <c r="M311" i="4" s="1"/>
  <c r="K311" i="4"/>
  <c r="Z311" i="4" s="1"/>
  <c r="T57" i="4"/>
  <c r="S57" i="4"/>
  <c r="O57" i="4" s="1"/>
  <c r="R57" i="4"/>
  <c r="N57" i="4" s="1"/>
  <c r="K57" i="4"/>
  <c r="Z57" i="4" s="1"/>
  <c r="T56" i="4"/>
  <c r="S56" i="4"/>
  <c r="O56" i="4" s="1"/>
  <c r="R56" i="4"/>
  <c r="N56" i="4" s="1"/>
  <c r="Q56" i="4"/>
  <c r="M56" i="4" s="1"/>
  <c r="K56" i="4"/>
  <c r="Z56" i="4" s="1"/>
  <c r="T52" i="4"/>
  <c r="S52" i="4"/>
  <c r="O52" i="4" s="1"/>
  <c r="R52" i="4"/>
  <c r="N52" i="4" s="1"/>
  <c r="Q52" i="4"/>
  <c r="M52" i="4" s="1"/>
  <c r="K52" i="4"/>
  <c r="Z52" i="4" s="1"/>
  <c r="T184" i="4"/>
  <c r="S184" i="4"/>
  <c r="O184" i="4" s="1"/>
  <c r="R184" i="4"/>
  <c r="N184" i="4" s="1"/>
  <c r="Q184" i="4"/>
  <c r="M184" i="4" s="1"/>
  <c r="K184" i="4"/>
  <c r="Z184" i="4" s="1"/>
  <c r="T89" i="4"/>
  <c r="S89" i="4"/>
  <c r="O89" i="4" s="1"/>
  <c r="R89" i="4"/>
  <c r="N89" i="4" s="1"/>
  <c r="Q89" i="4"/>
  <c r="M89" i="4" s="1"/>
  <c r="K89" i="4"/>
  <c r="Z89" i="4" s="1"/>
  <c r="K72" i="4"/>
  <c r="Z72" i="4" s="1"/>
  <c r="R72" i="4"/>
  <c r="N72" i="4" s="1"/>
  <c r="S72" i="4"/>
  <c r="O72" i="4" s="1"/>
  <c r="T72" i="4"/>
  <c r="T69" i="4"/>
  <c r="S69" i="4"/>
  <c r="O69" i="4" s="1"/>
  <c r="R69" i="4"/>
  <c r="N69" i="4" s="1"/>
  <c r="Q69" i="4"/>
  <c r="M69" i="4" s="1"/>
  <c r="K69" i="4"/>
  <c r="Z69" i="4" s="1"/>
  <c r="T68" i="4"/>
  <c r="S68" i="4"/>
  <c r="O68" i="4" s="1"/>
  <c r="R68" i="4"/>
  <c r="N68" i="4" s="1"/>
  <c r="Q68" i="4"/>
  <c r="M68" i="4" s="1"/>
  <c r="K68" i="4"/>
  <c r="Z68" i="4" s="1"/>
  <c r="T67" i="4"/>
  <c r="S67" i="4"/>
  <c r="O67" i="4" s="1"/>
  <c r="R67" i="4"/>
  <c r="N67" i="4" s="1"/>
  <c r="Q67" i="4"/>
  <c r="M67" i="4" s="1"/>
  <c r="K67" i="4"/>
  <c r="Z67" i="4" s="1"/>
  <c r="T66" i="4"/>
  <c r="S66" i="4"/>
  <c r="O66" i="4" s="1"/>
  <c r="R66" i="4"/>
  <c r="N66" i="4" s="1"/>
  <c r="Q66" i="4"/>
  <c r="M66" i="4" s="1"/>
  <c r="K66" i="4"/>
  <c r="Z66" i="4" s="1"/>
  <c r="T30" i="4"/>
  <c r="S30" i="4"/>
  <c r="O30" i="4" s="1"/>
  <c r="R30" i="4"/>
  <c r="N30" i="4" s="1"/>
  <c r="Q30" i="4"/>
  <c r="M30" i="4" s="1"/>
  <c r="K30" i="4"/>
  <c r="Z30" i="4" s="1"/>
  <c r="T65" i="4"/>
  <c r="S65" i="4"/>
  <c r="O65" i="4" s="1"/>
  <c r="R65" i="4"/>
  <c r="N65" i="4" s="1"/>
  <c r="Q65" i="4"/>
  <c r="M65" i="4" s="1"/>
  <c r="K65" i="4"/>
  <c r="Z65" i="4" s="1"/>
  <c r="T64" i="4"/>
  <c r="S64" i="4"/>
  <c r="O64" i="4" s="1"/>
  <c r="R64" i="4"/>
  <c r="N64" i="4" s="1"/>
  <c r="Q64" i="4"/>
  <c r="M64" i="4" s="1"/>
  <c r="K64" i="4"/>
  <c r="Z64" i="4" s="1"/>
  <c r="T60" i="4"/>
  <c r="S60" i="4"/>
  <c r="O60" i="4" s="1"/>
  <c r="R60" i="4"/>
  <c r="N60" i="4" s="1"/>
  <c r="Q60" i="4"/>
  <c r="M60" i="4" s="1"/>
  <c r="K60" i="4"/>
  <c r="Z60" i="4" s="1"/>
  <c r="N18" i="9" l="1"/>
  <c r="N19" i="9" s="1"/>
  <c r="N20" i="9" s="1"/>
  <c r="N21" i="9" s="1"/>
  <c r="N22" i="9" s="1"/>
  <c r="N23" i="9" s="1"/>
  <c r="T312" i="4"/>
  <c r="S312" i="4"/>
  <c r="O312" i="4" s="1"/>
  <c r="R312" i="4"/>
  <c r="N312" i="4" s="1"/>
  <c r="Q312" i="4"/>
  <c r="M312" i="4" s="1"/>
  <c r="K312" i="4"/>
  <c r="Z312" i="4" s="1"/>
  <c r="T310" i="4"/>
  <c r="S310" i="4"/>
  <c r="O310" i="4" s="1"/>
  <c r="R310" i="4"/>
  <c r="N310" i="4" s="1"/>
  <c r="Q310" i="4"/>
  <c r="M310" i="4" s="1"/>
  <c r="K310" i="4"/>
  <c r="Z310" i="4" s="1"/>
  <c r="T294" i="4"/>
  <c r="S294" i="4"/>
  <c r="O294" i="4" s="1"/>
  <c r="R294" i="4"/>
  <c r="N294" i="4" s="1"/>
  <c r="Q294" i="4"/>
  <c r="M294" i="4" s="1"/>
  <c r="K294" i="4"/>
  <c r="Z294" i="4" s="1"/>
  <c r="N24" i="9" l="1"/>
  <c r="N25" i="9" s="1"/>
  <c r="N26" i="9" s="1"/>
  <c r="T309" i="4"/>
  <c r="S309" i="4"/>
  <c r="O309" i="4" s="1"/>
  <c r="R309" i="4"/>
  <c r="N309" i="4" s="1"/>
  <c r="Q309" i="4"/>
  <c r="M309" i="4" s="1"/>
  <c r="K309" i="4"/>
  <c r="Z309" i="4" s="1"/>
  <c r="T308" i="4"/>
  <c r="S308" i="4"/>
  <c r="O308" i="4" s="1"/>
  <c r="R308" i="4"/>
  <c r="N308" i="4" s="1"/>
  <c r="Q308" i="4"/>
  <c r="M308" i="4" s="1"/>
  <c r="K308" i="4"/>
  <c r="Z308" i="4" s="1"/>
  <c r="T307" i="4"/>
  <c r="S307" i="4"/>
  <c r="O307" i="4" s="1"/>
  <c r="R307" i="4"/>
  <c r="N307" i="4" s="1"/>
  <c r="Q307" i="4"/>
  <c r="M307" i="4" s="1"/>
  <c r="K307" i="4"/>
  <c r="Z307" i="4" s="1"/>
  <c r="T306" i="4"/>
  <c r="S306" i="4"/>
  <c r="O306" i="4" s="1"/>
  <c r="R306" i="4"/>
  <c r="N306" i="4" s="1"/>
  <c r="Q306" i="4"/>
  <c r="M306" i="4" s="1"/>
  <c r="K306" i="4"/>
  <c r="Z306" i="4" s="1"/>
  <c r="T305" i="4"/>
  <c r="S305" i="4"/>
  <c r="O305" i="4" s="1"/>
  <c r="R305" i="4"/>
  <c r="N305" i="4" s="1"/>
  <c r="Q305" i="4"/>
  <c r="M305" i="4" s="1"/>
  <c r="K305" i="4"/>
  <c r="Z305" i="4" s="1"/>
  <c r="T304" i="4"/>
  <c r="S304" i="4"/>
  <c r="O304" i="4" s="1"/>
  <c r="R304" i="4"/>
  <c r="N304" i="4" s="1"/>
  <c r="Q304" i="4"/>
  <c r="M304" i="4" s="1"/>
  <c r="K304" i="4"/>
  <c r="Z304" i="4" s="1"/>
  <c r="T303" i="4"/>
  <c r="S303" i="4"/>
  <c r="O303" i="4" s="1"/>
  <c r="R303" i="4"/>
  <c r="N303" i="4" s="1"/>
  <c r="Q303" i="4"/>
  <c r="M303" i="4" s="1"/>
  <c r="K303" i="4"/>
  <c r="Z303" i="4" s="1"/>
  <c r="T302" i="4"/>
  <c r="S302" i="4"/>
  <c r="O302" i="4" s="1"/>
  <c r="R302" i="4"/>
  <c r="N302" i="4" s="1"/>
  <c r="Q302" i="4"/>
  <c r="M302" i="4" s="1"/>
  <c r="K302" i="4"/>
  <c r="Z302" i="4" s="1"/>
  <c r="T301" i="4"/>
  <c r="S301" i="4"/>
  <c r="O301" i="4" s="1"/>
  <c r="R301" i="4"/>
  <c r="N301" i="4" s="1"/>
  <c r="Q301" i="4"/>
  <c r="M301" i="4" s="1"/>
  <c r="K301" i="4"/>
  <c r="Z301" i="4" s="1"/>
  <c r="T300" i="4"/>
  <c r="S300" i="4"/>
  <c r="O300" i="4" s="1"/>
  <c r="R300" i="4"/>
  <c r="N300" i="4" s="1"/>
  <c r="Q300" i="4"/>
  <c r="M300" i="4" s="1"/>
  <c r="K300" i="4"/>
  <c r="Z300" i="4" s="1"/>
  <c r="T299" i="4"/>
  <c r="S299" i="4"/>
  <c r="O299" i="4" s="1"/>
  <c r="R299" i="4"/>
  <c r="N299" i="4" s="1"/>
  <c r="Q299" i="4"/>
  <c r="M299" i="4" s="1"/>
  <c r="K299" i="4"/>
  <c r="Z299" i="4" s="1"/>
  <c r="T298" i="4"/>
  <c r="S298" i="4"/>
  <c r="O298" i="4" s="1"/>
  <c r="R298" i="4"/>
  <c r="N298" i="4" s="1"/>
  <c r="Q298" i="4"/>
  <c r="M298" i="4" s="1"/>
  <c r="K298" i="4"/>
  <c r="Z298" i="4" s="1"/>
  <c r="T297" i="4"/>
  <c r="S297" i="4"/>
  <c r="O297" i="4" s="1"/>
  <c r="R297" i="4"/>
  <c r="N297" i="4" s="1"/>
  <c r="Q297" i="4"/>
  <c r="M297" i="4" s="1"/>
  <c r="K297" i="4"/>
  <c r="Z297" i="4" s="1"/>
  <c r="T296" i="4"/>
  <c r="S296" i="4"/>
  <c r="O296" i="4" s="1"/>
  <c r="R296" i="4"/>
  <c r="N296" i="4" s="1"/>
  <c r="Q296" i="4"/>
  <c r="M296" i="4" s="1"/>
  <c r="K296" i="4"/>
  <c r="Z296" i="4" s="1"/>
  <c r="T293" i="4"/>
  <c r="S293" i="4"/>
  <c r="O293" i="4" s="1"/>
  <c r="R293" i="4"/>
  <c r="N293" i="4" s="1"/>
  <c r="Q293" i="4"/>
  <c r="M293" i="4" s="1"/>
  <c r="K293" i="4"/>
  <c r="Z293" i="4" s="1"/>
  <c r="T292" i="4"/>
  <c r="S292" i="4"/>
  <c r="O292" i="4" s="1"/>
  <c r="R292" i="4"/>
  <c r="N292" i="4" s="1"/>
  <c r="Q292" i="4"/>
  <c r="M292" i="4" s="1"/>
  <c r="K292" i="4"/>
  <c r="Z292" i="4" s="1"/>
  <c r="T291" i="4"/>
  <c r="S291" i="4"/>
  <c r="O291" i="4" s="1"/>
  <c r="R291" i="4"/>
  <c r="N291" i="4" s="1"/>
  <c r="Q291" i="4"/>
  <c r="M291" i="4" s="1"/>
  <c r="K291" i="4"/>
  <c r="Z291" i="4" s="1"/>
  <c r="T290" i="4"/>
  <c r="S290" i="4"/>
  <c r="O290" i="4" s="1"/>
  <c r="R290" i="4"/>
  <c r="N290" i="4" s="1"/>
  <c r="Q290" i="4"/>
  <c r="M290" i="4" s="1"/>
  <c r="K290" i="4"/>
  <c r="Z290" i="4" s="1"/>
  <c r="T295" i="4"/>
  <c r="S295" i="4"/>
  <c r="O295" i="4" s="1"/>
  <c r="R295" i="4"/>
  <c r="N295" i="4" s="1"/>
  <c r="Q295" i="4"/>
  <c r="M295" i="4" s="1"/>
  <c r="K295" i="4"/>
  <c r="Z295" i="4" s="1"/>
  <c r="T289" i="4"/>
  <c r="S289" i="4"/>
  <c r="O289" i="4" s="1"/>
  <c r="R289" i="4"/>
  <c r="N289" i="4" s="1"/>
  <c r="Q289" i="4"/>
  <c r="M289" i="4" s="1"/>
  <c r="K289" i="4"/>
  <c r="Z289" i="4" s="1"/>
  <c r="T288" i="4"/>
  <c r="S288" i="4"/>
  <c r="O288" i="4" s="1"/>
  <c r="R288" i="4"/>
  <c r="N288" i="4" s="1"/>
  <c r="Q288" i="4"/>
  <c r="M288" i="4" s="1"/>
  <c r="K288" i="4"/>
  <c r="Z288" i="4" s="1"/>
  <c r="T287" i="4"/>
  <c r="S287" i="4"/>
  <c r="O287" i="4" s="1"/>
  <c r="R287" i="4"/>
  <c r="N287" i="4" s="1"/>
  <c r="Q287" i="4"/>
  <c r="M287" i="4" s="1"/>
  <c r="K287" i="4"/>
  <c r="Z287" i="4" s="1"/>
  <c r="T286" i="4"/>
  <c r="S286" i="4"/>
  <c r="O286" i="4" s="1"/>
  <c r="R286" i="4"/>
  <c r="N286" i="4" s="1"/>
  <c r="Q286" i="4"/>
  <c r="M286" i="4" s="1"/>
  <c r="K286" i="4"/>
  <c r="Z286" i="4" s="1"/>
  <c r="T285" i="4"/>
  <c r="S285" i="4"/>
  <c r="O285" i="4" s="1"/>
  <c r="R285" i="4"/>
  <c r="N285" i="4" s="1"/>
  <c r="Q285" i="4"/>
  <c r="M285" i="4" s="1"/>
  <c r="K285" i="4"/>
  <c r="Z285" i="4" s="1"/>
  <c r="T380" i="4"/>
  <c r="S380" i="4"/>
  <c r="O380" i="4" s="1"/>
  <c r="R380" i="4"/>
  <c r="N380" i="4" s="1"/>
  <c r="Q380" i="4"/>
  <c r="M380" i="4" s="1"/>
  <c r="K380" i="4"/>
  <c r="Z380" i="4" s="1"/>
  <c r="T379" i="4"/>
  <c r="S379" i="4"/>
  <c r="O379" i="4" s="1"/>
  <c r="R379" i="4"/>
  <c r="N379" i="4" s="1"/>
  <c r="Q379" i="4"/>
  <c r="M379" i="4" s="1"/>
  <c r="K379" i="4"/>
  <c r="Z379" i="4" s="1"/>
  <c r="T332" i="4"/>
  <c r="S332" i="4"/>
  <c r="O332" i="4" s="1"/>
  <c r="R332" i="4"/>
  <c r="N332" i="4" s="1"/>
  <c r="Q332" i="4"/>
  <c r="M332" i="4" s="1"/>
  <c r="K332" i="4"/>
  <c r="Z332" i="4" s="1"/>
  <c r="T331" i="4"/>
  <c r="S331" i="4"/>
  <c r="O331" i="4" s="1"/>
  <c r="R331" i="4"/>
  <c r="N331" i="4" s="1"/>
  <c r="Q331" i="4"/>
  <c r="M331" i="4" s="1"/>
  <c r="K331" i="4"/>
  <c r="Z331" i="4" s="1"/>
  <c r="T330" i="4"/>
  <c r="S330" i="4"/>
  <c r="O330" i="4" s="1"/>
  <c r="R330" i="4"/>
  <c r="N330" i="4" s="1"/>
  <c r="Q330" i="4"/>
  <c r="M330" i="4" s="1"/>
  <c r="K330" i="4"/>
  <c r="Z330" i="4" s="1"/>
  <c r="T325" i="4"/>
  <c r="S325" i="4"/>
  <c r="O325" i="4" s="1"/>
  <c r="R325" i="4"/>
  <c r="N325" i="4" s="1"/>
  <c r="Q325" i="4"/>
  <c r="M325" i="4" s="1"/>
  <c r="K325" i="4"/>
  <c r="Z325" i="4" s="1"/>
  <c r="K234" i="4"/>
  <c r="Z234" i="4" s="1"/>
  <c r="Q234" i="4"/>
  <c r="M234" i="4" s="1"/>
  <c r="R234" i="4"/>
  <c r="N234" i="4" s="1"/>
  <c r="S234" i="4"/>
  <c r="O234" i="4" s="1"/>
  <c r="T234" i="4"/>
  <c r="E43" i="3"/>
  <c r="J49" i="3"/>
  <c r="J46" i="3"/>
  <c r="J42" i="3"/>
  <c r="J44" i="3"/>
  <c r="K44" i="3" s="1"/>
  <c r="J17" i="3"/>
  <c r="J232" i="3"/>
  <c r="J233" i="3"/>
  <c r="J321" i="3"/>
  <c r="K321" i="3" s="1"/>
  <c r="J323" i="3"/>
  <c r="K323" i="3" s="1"/>
  <c r="J227" i="3"/>
  <c r="K227" i="3" s="1"/>
  <c r="J229" i="3"/>
  <c r="J195" i="3"/>
  <c r="K195" i="3" s="1"/>
  <c r="J197" i="3"/>
  <c r="K197" i="3" s="1"/>
  <c r="J148" i="3"/>
  <c r="K148" i="3" s="1"/>
  <c r="J150" i="3"/>
  <c r="J131" i="3"/>
  <c r="K131" i="3" s="1"/>
  <c r="J133" i="3"/>
  <c r="J114" i="3"/>
  <c r="K114" i="3" s="1"/>
  <c r="J116" i="3"/>
  <c r="J97" i="3"/>
  <c r="K97" i="3" s="1"/>
  <c r="J99" i="3"/>
  <c r="J80" i="3"/>
  <c r="K80" i="3" s="1"/>
  <c r="J82" i="3"/>
  <c r="J63" i="3"/>
  <c r="K63" i="3" s="1"/>
  <c r="J65" i="3"/>
  <c r="J40" i="3"/>
  <c r="K40" i="3" s="1"/>
  <c r="J47" i="3"/>
  <c r="J23" i="3"/>
  <c r="K23" i="3" s="1"/>
  <c r="J25" i="3"/>
  <c r="J322" i="3"/>
  <c r="E324" i="3"/>
  <c r="E321" i="3" s="1"/>
  <c r="I321" i="3" s="1"/>
  <c r="K10" i="4"/>
  <c r="Z10" i="4" s="1"/>
  <c r="K11" i="4"/>
  <c r="Z11" i="4" s="1"/>
  <c r="K12" i="4"/>
  <c r="Z12" i="4" s="1"/>
  <c r="K13" i="4"/>
  <c r="Z13" i="4" s="1"/>
  <c r="K14" i="4"/>
  <c r="Z14" i="4" s="1"/>
  <c r="K15" i="4"/>
  <c r="Z15" i="4" s="1"/>
  <c r="K16" i="4"/>
  <c r="Z16" i="4" s="1"/>
  <c r="F16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J306" i="3"/>
  <c r="K306" i="3" s="1"/>
  <c r="J291" i="3"/>
  <c r="K291" i="3" s="1"/>
  <c r="J276" i="3"/>
  <c r="K276" i="3" s="1"/>
  <c r="J261" i="3"/>
  <c r="K261" i="3" s="1"/>
  <c r="J246" i="3"/>
  <c r="K246" i="3" s="1"/>
  <c r="J228" i="3"/>
  <c r="J212" i="3"/>
  <c r="K212" i="3" s="1"/>
  <c r="J196" i="3"/>
  <c r="J180" i="3"/>
  <c r="K180" i="3" s="1"/>
  <c r="J165" i="3"/>
  <c r="K165" i="3" s="1"/>
  <c r="J149" i="3"/>
  <c r="J132" i="3"/>
  <c r="J115" i="3"/>
  <c r="J98" i="3"/>
  <c r="J81" i="3"/>
  <c r="J64" i="3"/>
  <c r="J41" i="3"/>
  <c r="J21" i="3"/>
  <c r="K21" i="3" s="1"/>
  <c r="G11" i="10"/>
  <c r="G10" i="10"/>
  <c r="G9" i="10"/>
  <c r="A9" i="10"/>
  <c r="G8" i="10"/>
  <c r="B8" i="10"/>
  <c r="A8" i="10"/>
  <c r="G7" i="10"/>
  <c r="B7" i="10"/>
  <c r="A7" i="10"/>
  <c r="G6" i="10"/>
  <c r="B6" i="10"/>
  <c r="A6" i="10"/>
  <c r="G5" i="10"/>
  <c r="B5" i="10"/>
  <c r="A5" i="10"/>
  <c r="A4" i="10"/>
  <c r="B3" i="10"/>
  <c r="A3" i="10"/>
  <c r="V45" i="9"/>
  <c r="Q45" i="9"/>
  <c r="L45" i="9"/>
  <c r="G45" i="9"/>
  <c r="B45" i="9"/>
  <c r="D63" i="2"/>
  <c r="G9" i="9"/>
  <c r="A9" i="9"/>
  <c r="G8" i="9"/>
  <c r="B8" i="9"/>
  <c r="A8" i="9"/>
  <c r="G7" i="9"/>
  <c r="B7" i="9"/>
  <c r="A7" i="9"/>
  <c r="G6" i="9"/>
  <c r="B6" i="9"/>
  <c r="A6" i="9"/>
  <c r="G5" i="9"/>
  <c r="B5" i="9"/>
  <c r="A5" i="9"/>
  <c r="G4" i="9"/>
  <c r="A4" i="9"/>
  <c r="G3" i="9"/>
  <c r="B3" i="9"/>
  <c r="A3" i="9"/>
  <c r="D98" i="8"/>
  <c r="D106" i="8"/>
  <c r="D83" i="8"/>
  <c r="D80" i="8"/>
  <c r="D78" i="8"/>
  <c r="D86" i="8"/>
  <c r="D63" i="8"/>
  <c r="D60" i="8"/>
  <c r="D58" i="8"/>
  <c r="D66" i="8" s="1"/>
  <c r="D40" i="8"/>
  <c r="D38" i="8"/>
  <c r="D45" i="8" s="1"/>
  <c r="D20" i="8"/>
  <c r="D18" i="8"/>
  <c r="D23" i="8" s="1"/>
  <c r="B8" i="8"/>
  <c r="A8" i="8"/>
  <c r="B7" i="8"/>
  <c r="A7" i="8"/>
  <c r="B6" i="8"/>
  <c r="A6" i="8"/>
  <c r="B5" i="8"/>
  <c r="A5" i="8"/>
  <c r="A4" i="8"/>
  <c r="B3" i="8"/>
  <c r="A3" i="8"/>
  <c r="T378" i="4"/>
  <c r="S378" i="4"/>
  <c r="O378" i="4" s="1"/>
  <c r="R378" i="4"/>
  <c r="N378" i="4" s="1"/>
  <c r="Q378" i="4"/>
  <c r="M378" i="4" s="1"/>
  <c r="K378" i="4"/>
  <c r="Z378" i="4" s="1"/>
  <c r="T377" i="4"/>
  <c r="S377" i="4"/>
  <c r="O377" i="4" s="1"/>
  <c r="R377" i="4"/>
  <c r="N377" i="4" s="1"/>
  <c r="Q377" i="4"/>
  <c r="M377" i="4" s="1"/>
  <c r="K377" i="4"/>
  <c r="Z377" i="4" s="1"/>
  <c r="T376" i="4"/>
  <c r="S376" i="4"/>
  <c r="O376" i="4" s="1"/>
  <c r="R376" i="4"/>
  <c r="N376" i="4" s="1"/>
  <c r="Q376" i="4"/>
  <c r="M376" i="4" s="1"/>
  <c r="K376" i="4"/>
  <c r="Z376" i="4" s="1"/>
  <c r="T375" i="4"/>
  <c r="S375" i="4"/>
  <c r="O375" i="4" s="1"/>
  <c r="R375" i="4"/>
  <c r="N375" i="4" s="1"/>
  <c r="Q375" i="4"/>
  <c r="M375" i="4" s="1"/>
  <c r="K375" i="4"/>
  <c r="Z375" i="4" s="1"/>
  <c r="T374" i="4"/>
  <c r="S374" i="4"/>
  <c r="O374" i="4" s="1"/>
  <c r="R374" i="4"/>
  <c r="N374" i="4" s="1"/>
  <c r="Q374" i="4"/>
  <c r="M374" i="4" s="1"/>
  <c r="K374" i="4"/>
  <c r="Z374" i="4" s="1"/>
  <c r="T373" i="4"/>
  <c r="S373" i="4"/>
  <c r="O373" i="4" s="1"/>
  <c r="R373" i="4"/>
  <c r="N373" i="4" s="1"/>
  <c r="Q373" i="4"/>
  <c r="M373" i="4" s="1"/>
  <c r="K373" i="4"/>
  <c r="Z373" i="4" s="1"/>
  <c r="T372" i="4"/>
  <c r="S372" i="4"/>
  <c r="O372" i="4" s="1"/>
  <c r="R372" i="4"/>
  <c r="N372" i="4" s="1"/>
  <c r="Q372" i="4"/>
  <c r="M372" i="4" s="1"/>
  <c r="K372" i="4"/>
  <c r="Z372" i="4" s="1"/>
  <c r="T371" i="4"/>
  <c r="S371" i="4"/>
  <c r="O371" i="4" s="1"/>
  <c r="R371" i="4"/>
  <c r="N371" i="4" s="1"/>
  <c r="K371" i="4"/>
  <c r="Z371" i="4" s="1"/>
  <c r="T370" i="4"/>
  <c r="S370" i="4"/>
  <c r="O370" i="4" s="1"/>
  <c r="R370" i="4"/>
  <c r="N370" i="4" s="1"/>
  <c r="Q370" i="4"/>
  <c r="M370" i="4" s="1"/>
  <c r="K370" i="4"/>
  <c r="Z370" i="4" s="1"/>
  <c r="T369" i="4"/>
  <c r="S369" i="4"/>
  <c r="O369" i="4" s="1"/>
  <c r="R369" i="4"/>
  <c r="N369" i="4" s="1"/>
  <c r="Q369" i="4"/>
  <c r="M369" i="4" s="1"/>
  <c r="K369" i="4"/>
  <c r="Z369" i="4" s="1"/>
  <c r="T368" i="4"/>
  <c r="S368" i="4"/>
  <c r="O368" i="4" s="1"/>
  <c r="R368" i="4"/>
  <c r="N368" i="4" s="1"/>
  <c r="Q368" i="4"/>
  <c r="M368" i="4" s="1"/>
  <c r="K368" i="4"/>
  <c r="Z368" i="4" s="1"/>
  <c r="T367" i="4"/>
  <c r="S367" i="4"/>
  <c r="O367" i="4" s="1"/>
  <c r="R367" i="4"/>
  <c r="N367" i="4" s="1"/>
  <c r="K367" i="4"/>
  <c r="Z367" i="4" s="1"/>
  <c r="T366" i="4"/>
  <c r="S366" i="4"/>
  <c r="O366" i="4" s="1"/>
  <c r="R366" i="4"/>
  <c r="N366" i="4" s="1"/>
  <c r="K366" i="4"/>
  <c r="Z366" i="4" s="1"/>
  <c r="T365" i="4"/>
  <c r="S365" i="4"/>
  <c r="O365" i="4" s="1"/>
  <c r="R365" i="4"/>
  <c r="N365" i="4" s="1"/>
  <c r="K365" i="4"/>
  <c r="Z365" i="4" s="1"/>
  <c r="T364" i="4"/>
  <c r="S364" i="4"/>
  <c r="O364" i="4" s="1"/>
  <c r="R364" i="4"/>
  <c r="N364" i="4" s="1"/>
  <c r="K364" i="4"/>
  <c r="Z364" i="4" s="1"/>
  <c r="T363" i="4"/>
  <c r="S363" i="4"/>
  <c r="O363" i="4" s="1"/>
  <c r="R363" i="4"/>
  <c r="N363" i="4" s="1"/>
  <c r="K363" i="4"/>
  <c r="Z363" i="4" s="1"/>
  <c r="T362" i="4"/>
  <c r="S362" i="4"/>
  <c r="O362" i="4" s="1"/>
  <c r="R362" i="4"/>
  <c r="N362" i="4" s="1"/>
  <c r="K362" i="4"/>
  <c r="Z362" i="4" s="1"/>
  <c r="T361" i="4"/>
  <c r="S361" i="4"/>
  <c r="O361" i="4" s="1"/>
  <c r="R361" i="4"/>
  <c r="N361" i="4" s="1"/>
  <c r="K361" i="4"/>
  <c r="Z361" i="4" s="1"/>
  <c r="T360" i="4"/>
  <c r="S360" i="4"/>
  <c r="O360" i="4" s="1"/>
  <c r="R360" i="4"/>
  <c r="N360" i="4" s="1"/>
  <c r="K360" i="4"/>
  <c r="Z360" i="4" s="1"/>
  <c r="T359" i="4"/>
  <c r="S359" i="4"/>
  <c r="O359" i="4" s="1"/>
  <c r="R359" i="4"/>
  <c r="N359" i="4" s="1"/>
  <c r="K359" i="4"/>
  <c r="Z359" i="4" s="1"/>
  <c r="T358" i="4"/>
  <c r="S358" i="4"/>
  <c r="O358" i="4" s="1"/>
  <c r="R358" i="4"/>
  <c r="N358" i="4" s="1"/>
  <c r="Q358" i="4"/>
  <c r="M358" i="4" s="1"/>
  <c r="K358" i="4"/>
  <c r="Z358" i="4" s="1"/>
  <c r="T357" i="4"/>
  <c r="S357" i="4"/>
  <c r="O357" i="4" s="1"/>
  <c r="R357" i="4"/>
  <c r="N357" i="4" s="1"/>
  <c r="Q357" i="4"/>
  <c r="M357" i="4" s="1"/>
  <c r="K357" i="4"/>
  <c r="Z357" i="4" s="1"/>
  <c r="T356" i="4"/>
  <c r="S356" i="4"/>
  <c r="O356" i="4" s="1"/>
  <c r="R356" i="4"/>
  <c r="N356" i="4" s="1"/>
  <c r="Q356" i="4"/>
  <c r="M356" i="4" s="1"/>
  <c r="K356" i="4"/>
  <c r="Z356" i="4" s="1"/>
  <c r="T355" i="4"/>
  <c r="S355" i="4"/>
  <c r="O355" i="4" s="1"/>
  <c r="R355" i="4"/>
  <c r="N355" i="4" s="1"/>
  <c r="Q355" i="4"/>
  <c r="M355" i="4" s="1"/>
  <c r="K355" i="4"/>
  <c r="Z355" i="4" s="1"/>
  <c r="T354" i="4"/>
  <c r="S354" i="4"/>
  <c r="O354" i="4" s="1"/>
  <c r="R354" i="4"/>
  <c r="N354" i="4" s="1"/>
  <c r="Q354" i="4"/>
  <c r="M354" i="4" s="1"/>
  <c r="K354" i="4"/>
  <c r="Z354" i="4" s="1"/>
  <c r="T353" i="4"/>
  <c r="S353" i="4"/>
  <c r="O353" i="4" s="1"/>
  <c r="R353" i="4"/>
  <c r="N353" i="4" s="1"/>
  <c r="Q353" i="4"/>
  <c r="M353" i="4" s="1"/>
  <c r="K353" i="4"/>
  <c r="Z353" i="4" s="1"/>
  <c r="T352" i="4"/>
  <c r="S352" i="4"/>
  <c r="O352" i="4" s="1"/>
  <c r="R352" i="4"/>
  <c r="N352" i="4" s="1"/>
  <c r="Q352" i="4"/>
  <c r="M352" i="4" s="1"/>
  <c r="K352" i="4"/>
  <c r="Z352" i="4" s="1"/>
  <c r="T351" i="4"/>
  <c r="S351" i="4"/>
  <c r="O351" i="4" s="1"/>
  <c r="R351" i="4"/>
  <c r="N351" i="4" s="1"/>
  <c r="K351" i="4"/>
  <c r="Z351" i="4" s="1"/>
  <c r="T350" i="4"/>
  <c r="S350" i="4"/>
  <c r="O350" i="4" s="1"/>
  <c r="R350" i="4"/>
  <c r="N350" i="4" s="1"/>
  <c r="K350" i="4"/>
  <c r="Z350" i="4" s="1"/>
  <c r="T349" i="4"/>
  <c r="S349" i="4"/>
  <c r="O349" i="4" s="1"/>
  <c r="R349" i="4"/>
  <c r="N349" i="4" s="1"/>
  <c r="K349" i="4"/>
  <c r="Z349" i="4" s="1"/>
  <c r="T348" i="4"/>
  <c r="S348" i="4"/>
  <c r="O348" i="4" s="1"/>
  <c r="R348" i="4"/>
  <c r="N348" i="4" s="1"/>
  <c r="K348" i="4"/>
  <c r="Z348" i="4" s="1"/>
  <c r="T347" i="4"/>
  <c r="S347" i="4"/>
  <c r="O347" i="4" s="1"/>
  <c r="R347" i="4"/>
  <c r="N347" i="4" s="1"/>
  <c r="K347" i="4"/>
  <c r="Z347" i="4" s="1"/>
  <c r="T346" i="4"/>
  <c r="S346" i="4"/>
  <c r="O346" i="4" s="1"/>
  <c r="R346" i="4"/>
  <c r="N346" i="4" s="1"/>
  <c r="K346" i="4"/>
  <c r="Z346" i="4" s="1"/>
  <c r="T345" i="4"/>
  <c r="S345" i="4"/>
  <c r="O345" i="4" s="1"/>
  <c r="R345" i="4"/>
  <c r="N345" i="4" s="1"/>
  <c r="Q345" i="4"/>
  <c r="M345" i="4" s="1"/>
  <c r="K345" i="4"/>
  <c r="Z345" i="4" s="1"/>
  <c r="T344" i="4"/>
  <c r="S344" i="4"/>
  <c r="O344" i="4" s="1"/>
  <c r="R344" i="4"/>
  <c r="N344" i="4" s="1"/>
  <c r="Q344" i="4"/>
  <c r="M344" i="4" s="1"/>
  <c r="K344" i="4"/>
  <c r="Z344" i="4" s="1"/>
  <c r="T343" i="4"/>
  <c r="S343" i="4"/>
  <c r="O343" i="4" s="1"/>
  <c r="R343" i="4"/>
  <c r="N343" i="4" s="1"/>
  <c r="Q343" i="4"/>
  <c r="M343" i="4" s="1"/>
  <c r="K343" i="4"/>
  <c r="Z343" i="4" s="1"/>
  <c r="T342" i="4"/>
  <c r="S342" i="4"/>
  <c r="O342" i="4" s="1"/>
  <c r="R342" i="4"/>
  <c r="N342" i="4" s="1"/>
  <c r="Q342" i="4"/>
  <c r="M342" i="4" s="1"/>
  <c r="K342" i="4"/>
  <c r="Z342" i="4" s="1"/>
  <c r="T341" i="4"/>
  <c r="S341" i="4"/>
  <c r="O341" i="4" s="1"/>
  <c r="R341" i="4"/>
  <c r="N341" i="4" s="1"/>
  <c r="Q341" i="4"/>
  <c r="M341" i="4" s="1"/>
  <c r="K341" i="4"/>
  <c r="Z341" i="4" s="1"/>
  <c r="T340" i="4"/>
  <c r="S340" i="4"/>
  <c r="O340" i="4" s="1"/>
  <c r="R340" i="4"/>
  <c r="N340" i="4" s="1"/>
  <c r="Q340" i="4"/>
  <c r="M340" i="4" s="1"/>
  <c r="K340" i="4"/>
  <c r="Z340" i="4" s="1"/>
  <c r="T339" i="4"/>
  <c r="S339" i="4"/>
  <c r="O339" i="4" s="1"/>
  <c r="R339" i="4"/>
  <c r="N339" i="4" s="1"/>
  <c r="Q339" i="4"/>
  <c r="M339" i="4" s="1"/>
  <c r="K339" i="4"/>
  <c r="Z339" i="4" s="1"/>
  <c r="T338" i="4"/>
  <c r="S338" i="4"/>
  <c r="O338" i="4" s="1"/>
  <c r="R338" i="4"/>
  <c r="N338" i="4" s="1"/>
  <c r="Q338" i="4"/>
  <c r="M338" i="4" s="1"/>
  <c r="K338" i="4"/>
  <c r="Z338" i="4" s="1"/>
  <c r="T337" i="4"/>
  <c r="S337" i="4"/>
  <c r="O337" i="4" s="1"/>
  <c r="R337" i="4"/>
  <c r="N337" i="4" s="1"/>
  <c r="Q337" i="4"/>
  <c r="M337" i="4" s="1"/>
  <c r="K337" i="4"/>
  <c r="Z337" i="4" s="1"/>
  <c r="T336" i="4"/>
  <c r="S336" i="4"/>
  <c r="O336" i="4" s="1"/>
  <c r="R336" i="4"/>
  <c r="N336" i="4" s="1"/>
  <c r="Q336" i="4"/>
  <c r="M336" i="4" s="1"/>
  <c r="K336" i="4"/>
  <c r="Z336" i="4" s="1"/>
  <c r="T335" i="4"/>
  <c r="S335" i="4"/>
  <c r="O335" i="4" s="1"/>
  <c r="R335" i="4"/>
  <c r="N335" i="4" s="1"/>
  <c r="Q335" i="4"/>
  <c r="M335" i="4" s="1"/>
  <c r="K335" i="4"/>
  <c r="Z335" i="4" s="1"/>
  <c r="T334" i="4"/>
  <c r="S334" i="4"/>
  <c r="O334" i="4" s="1"/>
  <c r="R334" i="4"/>
  <c r="N334" i="4" s="1"/>
  <c r="Q334" i="4"/>
  <c r="M334" i="4" s="1"/>
  <c r="K334" i="4"/>
  <c r="Z334" i="4" s="1"/>
  <c r="T333" i="4"/>
  <c r="S333" i="4"/>
  <c r="O333" i="4" s="1"/>
  <c r="R333" i="4"/>
  <c r="N333" i="4" s="1"/>
  <c r="Q333" i="4"/>
  <c r="M333" i="4" s="1"/>
  <c r="K333" i="4"/>
  <c r="Z333" i="4" s="1"/>
  <c r="T329" i="4"/>
  <c r="S329" i="4"/>
  <c r="O329" i="4" s="1"/>
  <c r="R329" i="4"/>
  <c r="N329" i="4" s="1"/>
  <c r="Q329" i="4"/>
  <c r="M329" i="4" s="1"/>
  <c r="K329" i="4"/>
  <c r="Z329" i="4" s="1"/>
  <c r="T328" i="4"/>
  <c r="S328" i="4"/>
  <c r="O328" i="4" s="1"/>
  <c r="R328" i="4"/>
  <c r="N328" i="4" s="1"/>
  <c r="Q328" i="4"/>
  <c r="M328" i="4" s="1"/>
  <c r="K328" i="4"/>
  <c r="Z328" i="4" s="1"/>
  <c r="T327" i="4"/>
  <c r="S327" i="4"/>
  <c r="O327" i="4" s="1"/>
  <c r="R327" i="4"/>
  <c r="N327" i="4" s="1"/>
  <c r="Q327" i="4"/>
  <c r="M327" i="4" s="1"/>
  <c r="K327" i="4"/>
  <c r="Z327" i="4" s="1"/>
  <c r="T326" i="4"/>
  <c r="S326" i="4"/>
  <c r="O326" i="4" s="1"/>
  <c r="R326" i="4"/>
  <c r="N326" i="4" s="1"/>
  <c r="Q326" i="4"/>
  <c r="M326" i="4" s="1"/>
  <c r="K326" i="4"/>
  <c r="Z326" i="4" s="1"/>
  <c r="T324" i="4"/>
  <c r="S324" i="4"/>
  <c r="O324" i="4" s="1"/>
  <c r="R324" i="4"/>
  <c r="N324" i="4" s="1"/>
  <c r="Q324" i="4"/>
  <c r="M324" i="4" s="1"/>
  <c r="K324" i="4"/>
  <c r="Z324" i="4" s="1"/>
  <c r="T323" i="4"/>
  <c r="S323" i="4"/>
  <c r="O323" i="4" s="1"/>
  <c r="R323" i="4"/>
  <c r="N323" i="4" s="1"/>
  <c r="Q323" i="4"/>
  <c r="M323" i="4" s="1"/>
  <c r="K323" i="4"/>
  <c r="Z323" i="4" s="1"/>
  <c r="T322" i="4"/>
  <c r="S322" i="4"/>
  <c r="O322" i="4" s="1"/>
  <c r="R322" i="4"/>
  <c r="N322" i="4" s="1"/>
  <c r="Q322" i="4"/>
  <c r="M322" i="4" s="1"/>
  <c r="K322" i="4"/>
  <c r="Z322" i="4" s="1"/>
  <c r="T321" i="4"/>
  <c r="S321" i="4"/>
  <c r="O321" i="4" s="1"/>
  <c r="R321" i="4"/>
  <c r="N321" i="4" s="1"/>
  <c r="Q321" i="4"/>
  <c r="M321" i="4" s="1"/>
  <c r="K321" i="4"/>
  <c r="Z321" i="4" s="1"/>
  <c r="T320" i="4"/>
  <c r="S320" i="4"/>
  <c r="O320" i="4" s="1"/>
  <c r="R320" i="4"/>
  <c r="N320" i="4" s="1"/>
  <c r="Q320" i="4"/>
  <c r="M320" i="4" s="1"/>
  <c r="K320" i="4"/>
  <c r="Z320" i="4" s="1"/>
  <c r="T319" i="4"/>
  <c r="S319" i="4"/>
  <c r="O319" i="4" s="1"/>
  <c r="R319" i="4"/>
  <c r="N319" i="4" s="1"/>
  <c r="Q319" i="4"/>
  <c r="M319" i="4" s="1"/>
  <c r="K319" i="4"/>
  <c r="Z319" i="4" s="1"/>
  <c r="T318" i="4"/>
  <c r="S318" i="4"/>
  <c r="O318" i="4" s="1"/>
  <c r="R318" i="4"/>
  <c r="N318" i="4" s="1"/>
  <c r="Q318" i="4"/>
  <c r="M318" i="4" s="1"/>
  <c r="K318" i="4"/>
  <c r="Z318" i="4" s="1"/>
  <c r="T317" i="4"/>
  <c r="S317" i="4"/>
  <c r="O317" i="4" s="1"/>
  <c r="R317" i="4"/>
  <c r="N317" i="4" s="1"/>
  <c r="Q317" i="4"/>
  <c r="M317" i="4" s="1"/>
  <c r="K317" i="4"/>
  <c r="Z317" i="4" s="1"/>
  <c r="T316" i="4"/>
  <c r="S316" i="4"/>
  <c r="O316" i="4" s="1"/>
  <c r="R316" i="4"/>
  <c r="N316" i="4" s="1"/>
  <c r="Q316" i="4"/>
  <c r="M316" i="4" s="1"/>
  <c r="K316" i="4"/>
  <c r="Z316" i="4" s="1"/>
  <c r="T315" i="4"/>
  <c r="S315" i="4"/>
  <c r="O315" i="4" s="1"/>
  <c r="R315" i="4"/>
  <c r="N315" i="4" s="1"/>
  <c r="Q315" i="4"/>
  <c r="M315" i="4" s="1"/>
  <c r="K315" i="4"/>
  <c r="Z315" i="4" s="1"/>
  <c r="T314" i="4"/>
  <c r="S314" i="4"/>
  <c r="O314" i="4" s="1"/>
  <c r="R314" i="4"/>
  <c r="N314" i="4" s="1"/>
  <c r="Q314" i="4"/>
  <c r="M314" i="4" s="1"/>
  <c r="K314" i="4"/>
  <c r="Z314" i="4" s="1"/>
  <c r="T313" i="4"/>
  <c r="S313" i="4"/>
  <c r="O313" i="4" s="1"/>
  <c r="R313" i="4"/>
  <c r="N313" i="4" s="1"/>
  <c r="Q313" i="4"/>
  <c r="M313" i="4" s="1"/>
  <c r="K313" i="4"/>
  <c r="Z313" i="4" s="1"/>
  <c r="T284" i="4"/>
  <c r="S284" i="4"/>
  <c r="O284" i="4" s="1"/>
  <c r="R284" i="4"/>
  <c r="N284" i="4" s="1"/>
  <c r="Q284" i="4"/>
  <c r="M284" i="4" s="1"/>
  <c r="K284" i="4"/>
  <c r="Z284" i="4" s="1"/>
  <c r="T283" i="4"/>
  <c r="S283" i="4"/>
  <c r="O283" i="4" s="1"/>
  <c r="R283" i="4"/>
  <c r="N283" i="4" s="1"/>
  <c r="Q283" i="4"/>
  <c r="M283" i="4" s="1"/>
  <c r="K283" i="4"/>
  <c r="Z283" i="4" s="1"/>
  <c r="T282" i="4"/>
  <c r="S282" i="4"/>
  <c r="O282" i="4" s="1"/>
  <c r="R282" i="4"/>
  <c r="N282" i="4" s="1"/>
  <c r="Q282" i="4"/>
  <c r="M282" i="4" s="1"/>
  <c r="K282" i="4"/>
  <c r="Z282" i="4" s="1"/>
  <c r="T281" i="4"/>
  <c r="S281" i="4"/>
  <c r="O281" i="4" s="1"/>
  <c r="R281" i="4"/>
  <c r="N281" i="4" s="1"/>
  <c r="Q281" i="4"/>
  <c r="M281" i="4" s="1"/>
  <c r="K281" i="4"/>
  <c r="Z281" i="4" s="1"/>
  <c r="T280" i="4"/>
  <c r="S280" i="4"/>
  <c r="O280" i="4" s="1"/>
  <c r="R280" i="4"/>
  <c r="N280" i="4" s="1"/>
  <c r="Q280" i="4"/>
  <c r="M280" i="4" s="1"/>
  <c r="K280" i="4"/>
  <c r="Z280" i="4" s="1"/>
  <c r="T279" i="4"/>
  <c r="S279" i="4"/>
  <c r="O279" i="4" s="1"/>
  <c r="R279" i="4"/>
  <c r="N279" i="4" s="1"/>
  <c r="Q279" i="4"/>
  <c r="M279" i="4" s="1"/>
  <c r="K279" i="4"/>
  <c r="Z279" i="4" s="1"/>
  <c r="T278" i="4"/>
  <c r="S278" i="4"/>
  <c r="O278" i="4" s="1"/>
  <c r="R278" i="4"/>
  <c r="N278" i="4" s="1"/>
  <c r="Q278" i="4"/>
  <c r="M278" i="4" s="1"/>
  <c r="K278" i="4"/>
  <c r="Z278" i="4" s="1"/>
  <c r="T277" i="4"/>
  <c r="S277" i="4"/>
  <c r="O277" i="4" s="1"/>
  <c r="R277" i="4"/>
  <c r="N277" i="4" s="1"/>
  <c r="Q277" i="4"/>
  <c r="M277" i="4" s="1"/>
  <c r="K277" i="4"/>
  <c r="Z277" i="4" s="1"/>
  <c r="T276" i="4"/>
  <c r="S276" i="4"/>
  <c r="O276" i="4" s="1"/>
  <c r="R276" i="4"/>
  <c r="N276" i="4" s="1"/>
  <c r="Q276" i="4"/>
  <c r="M276" i="4" s="1"/>
  <c r="K276" i="4"/>
  <c r="Z276" i="4" s="1"/>
  <c r="T275" i="4"/>
  <c r="S275" i="4"/>
  <c r="O275" i="4" s="1"/>
  <c r="R275" i="4"/>
  <c r="N275" i="4" s="1"/>
  <c r="Q275" i="4"/>
  <c r="M275" i="4" s="1"/>
  <c r="K275" i="4"/>
  <c r="Z275" i="4" s="1"/>
  <c r="T274" i="4"/>
  <c r="S274" i="4"/>
  <c r="O274" i="4" s="1"/>
  <c r="R274" i="4"/>
  <c r="N274" i="4" s="1"/>
  <c r="Q274" i="4"/>
  <c r="M274" i="4" s="1"/>
  <c r="K274" i="4"/>
  <c r="Z274" i="4" s="1"/>
  <c r="T273" i="4"/>
  <c r="S273" i="4"/>
  <c r="O273" i="4" s="1"/>
  <c r="R273" i="4"/>
  <c r="N273" i="4" s="1"/>
  <c r="K273" i="4"/>
  <c r="Z273" i="4" s="1"/>
  <c r="T272" i="4"/>
  <c r="S272" i="4"/>
  <c r="O272" i="4" s="1"/>
  <c r="R272" i="4"/>
  <c r="N272" i="4" s="1"/>
  <c r="K272" i="4"/>
  <c r="Z272" i="4" s="1"/>
  <c r="T271" i="4"/>
  <c r="S271" i="4"/>
  <c r="O271" i="4" s="1"/>
  <c r="R271" i="4"/>
  <c r="N271" i="4" s="1"/>
  <c r="Q271" i="4"/>
  <c r="M271" i="4" s="1"/>
  <c r="K271" i="4"/>
  <c r="Z271" i="4" s="1"/>
  <c r="T270" i="4"/>
  <c r="S270" i="4"/>
  <c r="O270" i="4" s="1"/>
  <c r="R270" i="4"/>
  <c r="N270" i="4" s="1"/>
  <c r="Q270" i="4"/>
  <c r="M270" i="4" s="1"/>
  <c r="K270" i="4"/>
  <c r="Z270" i="4" s="1"/>
  <c r="T269" i="4"/>
  <c r="S269" i="4"/>
  <c r="O269" i="4" s="1"/>
  <c r="R269" i="4"/>
  <c r="N269" i="4" s="1"/>
  <c r="Q269" i="4"/>
  <c r="M269" i="4" s="1"/>
  <c r="K269" i="4"/>
  <c r="Z269" i="4" s="1"/>
  <c r="T268" i="4"/>
  <c r="S268" i="4"/>
  <c r="O268" i="4" s="1"/>
  <c r="R268" i="4"/>
  <c r="N268" i="4" s="1"/>
  <c r="Q268" i="4"/>
  <c r="M268" i="4" s="1"/>
  <c r="K268" i="4"/>
  <c r="Z268" i="4" s="1"/>
  <c r="T267" i="4"/>
  <c r="S267" i="4"/>
  <c r="O267" i="4" s="1"/>
  <c r="R267" i="4"/>
  <c r="N267" i="4" s="1"/>
  <c r="Q267" i="4"/>
  <c r="M267" i="4" s="1"/>
  <c r="K267" i="4"/>
  <c r="Z267" i="4" s="1"/>
  <c r="T266" i="4"/>
  <c r="S266" i="4"/>
  <c r="O266" i="4" s="1"/>
  <c r="R266" i="4"/>
  <c r="N266" i="4" s="1"/>
  <c r="Q266" i="4"/>
  <c r="M266" i="4" s="1"/>
  <c r="K266" i="4"/>
  <c r="Z266" i="4" s="1"/>
  <c r="T265" i="4"/>
  <c r="S265" i="4"/>
  <c r="O265" i="4" s="1"/>
  <c r="R265" i="4"/>
  <c r="N265" i="4" s="1"/>
  <c r="K265" i="4"/>
  <c r="Z265" i="4" s="1"/>
  <c r="T264" i="4"/>
  <c r="S264" i="4"/>
  <c r="O264" i="4" s="1"/>
  <c r="R264" i="4"/>
  <c r="N264" i="4" s="1"/>
  <c r="Q264" i="4"/>
  <c r="M264" i="4" s="1"/>
  <c r="K264" i="4"/>
  <c r="Z264" i="4" s="1"/>
  <c r="T263" i="4"/>
  <c r="S263" i="4"/>
  <c r="O263" i="4" s="1"/>
  <c r="R263" i="4"/>
  <c r="N263" i="4" s="1"/>
  <c r="Q263" i="4"/>
  <c r="M263" i="4" s="1"/>
  <c r="K263" i="4"/>
  <c r="Z263" i="4" s="1"/>
  <c r="T262" i="4"/>
  <c r="S262" i="4"/>
  <c r="O262" i="4" s="1"/>
  <c r="R262" i="4"/>
  <c r="N262" i="4" s="1"/>
  <c r="Q262" i="4"/>
  <c r="M262" i="4" s="1"/>
  <c r="K262" i="4"/>
  <c r="Z262" i="4" s="1"/>
  <c r="T261" i="4"/>
  <c r="S261" i="4"/>
  <c r="O261" i="4" s="1"/>
  <c r="R261" i="4"/>
  <c r="N261" i="4" s="1"/>
  <c r="Q261" i="4"/>
  <c r="M261" i="4" s="1"/>
  <c r="K261" i="4"/>
  <c r="Z261" i="4" s="1"/>
  <c r="T260" i="4"/>
  <c r="S260" i="4"/>
  <c r="O260" i="4" s="1"/>
  <c r="R260" i="4"/>
  <c r="N260" i="4" s="1"/>
  <c r="Q260" i="4"/>
  <c r="M260" i="4" s="1"/>
  <c r="K260" i="4"/>
  <c r="Z260" i="4" s="1"/>
  <c r="T259" i="4"/>
  <c r="S259" i="4"/>
  <c r="O259" i="4" s="1"/>
  <c r="R259" i="4"/>
  <c r="N259" i="4" s="1"/>
  <c r="Q259" i="4"/>
  <c r="M259" i="4" s="1"/>
  <c r="K259" i="4"/>
  <c r="Z259" i="4" s="1"/>
  <c r="T258" i="4"/>
  <c r="S258" i="4"/>
  <c r="O258" i="4" s="1"/>
  <c r="R258" i="4"/>
  <c r="N258" i="4" s="1"/>
  <c r="Q258" i="4"/>
  <c r="M258" i="4" s="1"/>
  <c r="K258" i="4"/>
  <c r="Z258" i="4" s="1"/>
  <c r="T257" i="4"/>
  <c r="S257" i="4"/>
  <c r="O257" i="4" s="1"/>
  <c r="R257" i="4"/>
  <c r="N257" i="4" s="1"/>
  <c r="Q257" i="4"/>
  <c r="M257" i="4" s="1"/>
  <c r="K257" i="4"/>
  <c r="Z257" i="4" s="1"/>
  <c r="T256" i="4"/>
  <c r="S256" i="4"/>
  <c r="O256" i="4" s="1"/>
  <c r="R256" i="4"/>
  <c r="N256" i="4" s="1"/>
  <c r="Q256" i="4"/>
  <c r="M256" i="4" s="1"/>
  <c r="K256" i="4"/>
  <c r="Z256" i="4" s="1"/>
  <c r="T255" i="4"/>
  <c r="S255" i="4"/>
  <c r="O255" i="4" s="1"/>
  <c r="R255" i="4"/>
  <c r="N255" i="4" s="1"/>
  <c r="Q255" i="4"/>
  <c r="M255" i="4" s="1"/>
  <c r="K255" i="4"/>
  <c r="Z255" i="4" s="1"/>
  <c r="T254" i="4"/>
  <c r="S254" i="4"/>
  <c r="O254" i="4" s="1"/>
  <c r="R254" i="4"/>
  <c r="N254" i="4" s="1"/>
  <c r="Q254" i="4"/>
  <c r="M254" i="4" s="1"/>
  <c r="K254" i="4"/>
  <c r="Z254" i="4" s="1"/>
  <c r="T253" i="4"/>
  <c r="S253" i="4"/>
  <c r="O253" i="4" s="1"/>
  <c r="R253" i="4"/>
  <c r="N253" i="4" s="1"/>
  <c r="Q253" i="4"/>
  <c r="M253" i="4" s="1"/>
  <c r="K253" i="4"/>
  <c r="Z253" i="4" s="1"/>
  <c r="T252" i="4"/>
  <c r="S252" i="4"/>
  <c r="O252" i="4" s="1"/>
  <c r="R252" i="4"/>
  <c r="N252" i="4" s="1"/>
  <c r="Q252" i="4"/>
  <c r="M252" i="4" s="1"/>
  <c r="K252" i="4"/>
  <c r="Z252" i="4" s="1"/>
  <c r="T251" i="4"/>
  <c r="S251" i="4"/>
  <c r="O251" i="4" s="1"/>
  <c r="R251" i="4"/>
  <c r="N251" i="4" s="1"/>
  <c r="Q251" i="4"/>
  <c r="M251" i="4" s="1"/>
  <c r="K251" i="4"/>
  <c r="Z251" i="4" s="1"/>
  <c r="T250" i="4"/>
  <c r="S250" i="4"/>
  <c r="O250" i="4" s="1"/>
  <c r="R250" i="4"/>
  <c r="N250" i="4" s="1"/>
  <c r="Q250" i="4"/>
  <c r="M250" i="4" s="1"/>
  <c r="K250" i="4"/>
  <c r="Z250" i="4" s="1"/>
  <c r="T249" i="4"/>
  <c r="S249" i="4"/>
  <c r="O249" i="4" s="1"/>
  <c r="R249" i="4"/>
  <c r="N249" i="4" s="1"/>
  <c r="Q249" i="4"/>
  <c r="M249" i="4" s="1"/>
  <c r="K249" i="4"/>
  <c r="Z249" i="4" s="1"/>
  <c r="T248" i="4"/>
  <c r="S248" i="4"/>
  <c r="O248" i="4" s="1"/>
  <c r="R248" i="4"/>
  <c r="N248" i="4" s="1"/>
  <c r="Q248" i="4"/>
  <c r="M248" i="4" s="1"/>
  <c r="K248" i="4"/>
  <c r="Z248" i="4" s="1"/>
  <c r="T247" i="4"/>
  <c r="S247" i="4"/>
  <c r="O247" i="4" s="1"/>
  <c r="R247" i="4"/>
  <c r="N247" i="4" s="1"/>
  <c r="Q247" i="4"/>
  <c r="M247" i="4" s="1"/>
  <c r="K247" i="4"/>
  <c r="Z247" i="4" s="1"/>
  <c r="T246" i="4"/>
  <c r="S246" i="4"/>
  <c r="O246" i="4" s="1"/>
  <c r="R246" i="4"/>
  <c r="N246" i="4" s="1"/>
  <c r="Q246" i="4"/>
  <c r="M246" i="4" s="1"/>
  <c r="K246" i="4"/>
  <c r="Z246" i="4" s="1"/>
  <c r="T245" i="4"/>
  <c r="S245" i="4"/>
  <c r="O245" i="4" s="1"/>
  <c r="R245" i="4"/>
  <c r="N245" i="4" s="1"/>
  <c r="Q245" i="4"/>
  <c r="M245" i="4" s="1"/>
  <c r="K245" i="4"/>
  <c r="Z245" i="4" s="1"/>
  <c r="T244" i="4"/>
  <c r="S244" i="4"/>
  <c r="O244" i="4" s="1"/>
  <c r="R244" i="4"/>
  <c r="N244" i="4" s="1"/>
  <c r="Q244" i="4"/>
  <c r="M244" i="4" s="1"/>
  <c r="K244" i="4"/>
  <c r="Z244" i="4" s="1"/>
  <c r="T243" i="4"/>
  <c r="S243" i="4"/>
  <c r="O243" i="4" s="1"/>
  <c r="R243" i="4"/>
  <c r="N243" i="4" s="1"/>
  <c r="Q243" i="4"/>
  <c r="M243" i="4" s="1"/>
  <c r="K243" i="4"/>
  <c r="Z243" i="4" s="1"/>
  <c r="T242" i="4"/>
  <c r="S242" i="4"/>
  <c r="O242" i="4" s="1"/>
  <c r="R242" i="4"/>
  <c r="N242" i="4" s="1"/>
  <c r="Q242" i="4"/>
  <c r="M242" i="4" s="1"/>
  <c r="K242" i="4"/>
  <c r="Z242" i="4" s="1"/>
  <c r="T241" i="4"/>
  <c r="S241" i="4"/>
  <c r="O241" i="4" s="1"/>
  <c r="R241" i="4"/>
  <c r="N241" i="4" s="1"/>
  <c r="K241" i="4"/>
  <c r="Z241" i="4" s="1"/>
  <c r="T240" i="4"/>
  <c r="S240" i="4"/>
  <c r="O240" i="4" s="1"/>
  <c r="R240" i="4"/>
  <c r="N240" i="4" s="1"/>
  <c r="K240" i="4"/>
  <c r="Z240" i="4" s="1"/>
  <c r="T239" i="4"/>
  <c r="S239" i="4"/>
  <c r="O239" i="4" s="1"/>
  <c r="R239" i="4"/>
  <c r="N239" i="4" s="1"/>
  <c r="Q239" i="4"/>
  <c r="M239" i="4" s="1"/>
  <c r="K239" i="4"/>
  <c r="Z239" i="4" s="1"/>
  <c r="T238" i="4"/>
  <c r="S238" i="4"/>
  <c r="O238" i="4" s="1"/>
  <c r="R238" i="4"/>
  <c r="N238" i="4" s="1"/>
  <c r="Q238" i="4"/>
  <c r="M238" i="4" s="1"/>
  <c r="K238" i="4"/>
  <c r="Z238" i="4" s="1"/>
  <c r="T237" i="4"/>
  <c r="S237" i="4"/>
  <c r="O237" i="4" s="1"/>
  <c r="R237" i="4"/>
  <c r="N237" i="4" s="1"/>
  <c r="Q237" i="4"/>
  <c r="M237" i="4" s="1"/>
  <c r="K237" i="4"/>
  <c r="Z237" i="4" s="1"/>
  <c r="T236" i="4"/>
  <c r="S236" i="4"/>
  <c r="O236" i="4" s="1"/>
  <c r="R236" i="4"/>
  <c r="N236" i="4" s="1"/>
  <c r="Q236" i="4"/>
  <c r="M236" i="4" s="1"/>
  <c r="K236" i="4"/>
  <c r="Z236" i="4" s="1"/>
  <c r="T235" i="4"/>
  <c r="S235" i="4"/>
  <c r="O235" i="4" s="1"/>
  <c r="R235" i="4"/>
  <c r="N235" i="4" s="1"/>
  <c r="Q235" i="4"/>
  <c r="M235" i="4" s="1"/>
  <c r="K235" i="4"/>
  <c r="Z235" i="4" s="1"/>
  <c r="T233" i="4"/>
  <c r="S233" i="4"/>
  <c r="O233" i="4" s="1"/>
  <c r="R233" i="4"/>
  <c r="N233" i="4" s="1"/>
  <c r="Q233" i="4"/>
  <c r="M233" i="4" s="1"/>
  <c r="K233" i="4"/>
  <c r="Z233" i="4" s="1"/>
  <c r="T218" i="4"/>
  <c r="S218" i="4"/>
  <c r="O218" i="4" s="1"/>
  <c r="R218" i="4"/>
  <c r="N218" i="4" s="1"/>
  <c r="Q218" i="4"/>
  <c r="M218" i="4" s="1"/>
  <c r="K218" i="4"/>
  <c r="Z218" i="4" s="1"/>
  <c r="T217" i="4"/>
  <c r="S217" i="4"/>
  <c r="O217" i="4" s="1"/>
  <c r="R217" i="4"/>
  <c r="N217" i="4" s="1"/>
  <c r="K217" i="4"/>
  <c r="Z217" i="4" s="1"/>
  <c r="T216" i="4"/>
  <c r="S216" i="4"/>
  <c r="O216" i="4" s="1"/>
  <c r="R216" i="4"/>
  <c r="N216" i="4" s="1"/>
  <c r="K216" i="4"/>
  <c r="Z216" i="4" s="1"/>
  <c r="T215" i="4"/>
  <c r="S215" i="4"/>
  <c r="O215" i="4" s="1"/>
  <c r="R215" i="4"/>
  <c r="N215" i="4" s="1"/>
  <c r="K215" i="4"/>
  <c r="Z215" i="4" s="1"/>
  <c r="T214" i="4"/>
  <c r="S214" i="4"/>
  <c r="O214" i="4" s="1"/>
  <c r="R214" i="4"/>
  <c r="N214" i="4" s="1"/>
  <c r="K214" i="4"/>
  <c r="Z214" i="4" s="1"/>
  <c r="T213" i="4"/>
  <c r="S213" i="4"/>
  <c r="O213" i="4" s="1"/>
  <c r="R213" i="4"/>
  <c r="N213" i="4" s="1"/>
  <c r="K213" i="4"/>
  <c r="Z213" i="4" s="1"/>
  <c r="T212" i="4"/>
  <c r="S212" i="4"/>
  <c r="O212" i="4" s="1"/>
  <c r="R212" i="4"/>
  <c r="N212" i="4" s="1"/>
  <c r="Q212" i="4"/>
  <c r="M212" i="4" s="1"/>
  <c r="K212" i="4"/>
  <c r="Z212" i="4" s="1"/>
  <c r="T211" i="4"/>
  <c r="S211" i="4"/>
  <c r="O211" i="4" s="1"/>
  <c r="R211" i="4"/>
  <c r="N211" i="4" s="1"/>
  <c r="Q211" i="4"/>
  <c r="M211" i="4" s="1"/>
  <c r="K211" i="4"/>
  <c r="Z211" i="4" s="1"/>
  <c r="T210" i="4"/>
  <c r="S210" i="4"/>
  <c r="O210" i="4" s="1"/>
  <c r="R210" i="4"/>
  <c r="N210" i="4" s="1"/>
  <c r="Q210" i="4"/>
  <c r="M210" i="4" s="1"/>
  <c r="K210" i="4"/>
  <c r="Z210" i="4" s="1"/>
  <c r="T198" i="4"/>
  <c r="S198" i="4"/>
  <c r="O198" i="4" s="1"/>
  <c r="R198" i="4"/>
  <c r="N198" i="4" s="1"/>
  <c r="Q198" i="4"/>
  <c r="M198" i="4" s="1"/>
  <c r="K198" i="4"/>
  <c r="Z198" i="4" s="1"/>
  <c r="T197" i="4"/>
  <c r="S197" i="4"/>
  <c r="O197" i="4" s="1"/>
  <c r="R197" i="4"/>
  <c r="N197" i="4" s="1"/>
  <c r="Q197" i="4"/>
  <c r="M197" i="4" s="1"/>
  <c r="K197" i="4"/>
  <c r="Z197" i="4" s="1"/>
  <c r="T196" i="4"/>
  <c r="S196" i="4"/>
  <c r="O196" i="4" s="1"/>
  <c r="R196" i="4"/>
  <c r="N196" i="4" s="1"/>
  <c r="Q196" i="4"/>
  <c r="M196" i="4" s="1"/>
  <c r="K196" i="4"/>
  <c r="Z196" i="4" s="1"/>
  <c r="T195" i="4"/>
  <c r="S195" i="4"/>
  <c r="O195" i="4" s="1"/>
  <c r="R195" i="4"/>
  <c r="N195" i="4" s="1"/>
  <c r="K195" i="4"/>
  <c r="Z195" i="4" s="1"/>
  <c r="T194" i="4"/>
  <c r="S194" i="4"/>
  <c r="O194" i="4" s="1"/>
  <c r="R194" i="4"/>
  <c r="N194" i="4" s="1"/>
  <c r="K194" i="4"/>
  <c r="Z194" i="4" s="1"/>
  <c r="T193" i="4"/>
  <c r="S193" i="4"/>
  <c r="O193" i="4" s="1"/>
  <c r="R193" i="4"/>
  <c r="N193" i="4" s="1"/>
  <c r="Q193" i="4"/>
  <c r="M193" i="4" s="1"/>
  <c r="K193" i="4"/>
  <c r="Z193" i="4" s="1"/>
  <c r="T192" i="4"/>
  <c r="S192" i="4"/>
  <c r="O192" i="4" s="1"/>
  <c r="R192" i="4"/>
  <c r="N192" i="4" s="1"/>
  <c r="Q192" i="4"/>
  <c r="M192" i="4" s="1"/>
  <c r="K192" i="4"/>
  <c r="Z192" i="4" s="1"/>
  <c r="T191" i="4"/>
  <c r="S191" i="4"/>
  <c r="O191" i="4" s="1"/>
  <c r="R191" i="4"/>
  <c r="N191" i="4" s="1"/>
  <c r="Q191" i="4"/>
  <c r="M191" i="4" s="1"/>
  <c r="K191" i="4"/>
  <c r="Z191" i="4" s="1"/>
  <c r="T190" i="4"/>
  <c r="S190" i="4"/>
  <c r="O190" i="4" s="1"/>
  <c r="R190" i="4"/>
  <c r="N190" i="4" s="1"/>
  <c r="Q190" i="4"/>
  <c r="M190" i="4" s="1"/>
  <c r="K190" i="4"/>
  <c r="Z190" i="4" s="1"/>
  <c r="T189" i="4"/>
  <c r="S189" i="4"/>
  <c r="O189" i="4" s="1"/>
  <c r="R189" i="4"/>
  <c r="N189" i="4" s="1"/>
  <c r="Q189" i="4"/>
  <c r="M189" i="4" s="1"/>
  <c r="K189" i="4"/>
  <c r="Z189" i="4" s="1"/>
  <c r="T188" i="4"/>
  <c r="S188" i="4"/>
  <c r="O188" i="4" s="1"/>
  <c r="R188" i="4"/>
  <c r="N188" i="4" s="1"/>
  <c r="Q188" i="4"/>
  <c r="M188" i="4" s="1"/>
  <c r="K188" i="4"/>
  <c r="Z188" i="4" s="1"/>
  <c r="T187" i="4"/>
  <c r="S187" i="4"/>
  <c r="O187" i="4" s="1"/>
  <c r="R187" i="4"/>
  <c r="N187" i="4" s="1"/>
  <c r="Q187" i="4"/>
  <c r="M187" i="4" s="1"/>
  <c r="K187" i="4"/>
  <c r="Z187" i="4" s="1"/>
  <c r="T186" i="4"/>
  <c r="S186" i="4"/>
  <c r="O186" i="4" s="1"/>
  <c r="R186" i="4"/>
  <c r="N186" i="4" s="1"/>
  <c r="Q186" i="4"/>
  <c r="M186" i="4" s="1"/>
  <c r="K186" i="4"/>
  <c r="Z186" i="4" s="1"/>
  <c r="T185" i="4"/>
  <c r="S185" i="4"/>
  <c r="O185" i="4" s="1"/>
  <c r="R185" i="4"/>
  <c r="N185" i="4" s="1"/>
  <c r="Q185" i="4"/>
  <c r="M185" i="4" s="1"/>
  <c r="K185" i="4"/>
  <c r="Z185" i="4" s="1"/>
  <c r="T168" i="4"/>
  <c r="S168" i="4"/>
  <c r="O168" i="4" s="1"/>
  <c r="R168" i="4"/>
  <c r="N168" i="4" s="1"/>
  <c r="K168" i="4"/>
  <c r="Z168" i="4" s="1"/>
  <c r="T167" i="4"/>
  <c r="S167" i="4"/>
  <c r="O167" i="4" s="1"/>
  <c r="R167" i="4"/>
  <c r="N167" i="4" s="1"/>
  <c r="K167" i="4"/>
  <c r="Z167" i="4" s="1"/>
  <c r="T166" i="4"/>
  <c r="S166" i="4"/>
  <c r="O166" i="4" s="1"/>
  <c r="R166" i="4"/>
  <c r="N166" i="4" s="1"/>
  <c r="K166" i="4"/>
  <c r="Z166" i="4" s="1"/>
  <c r="T165" i="4"/>
  <c r="S165" i="4"/>
  <c r="O165" i="4" s="1"/>
  <c r="R165" i="4"/>
  <c r="N165" i="4" s="1"/>
  <c r="K165" i="4"/>
  <c r="Z165" i="4" s="1"/>
  <c r="T164" i="4"/>
  <c r="S164" i="4"/>
  <c r="O164" i="4" s="1"/>
  <c r="R164" i="4"/>
  <c r="N164" i="4" s="1"/>
  <c r="K164" i="4"/>
  <c r="Z164" i="4" s="1"/>
  <c r="T163" i="4"/>
  <c r="S163" i="4"/>
  <c r="O163" i="4" s="1"/>
  <c r="R163" i="4"/>
  <c r="N163" i="4" s="1"/>
  <c r="K163" i="4"/>
  <c r="Z163" i="4" s="1"/>
  <c r="T162" i="4"/>
  <c r="S162" i="4"/>
  <c r="O162" i="4" s="1"/>
  <c r="R162" i="4"/>
  <c r="N162" i="4" s="1"/>
  <c r="K162" i="4"/>
  <c r="Z162" i="4" s="1"/>
  <c r="T161" i="4"/>
  <c r="S161" i="4"/>
  <c r="O161" i="4" s="1"/>
  <c r="R161" i="4"/>
  <c r="N161" i="4" s="1"/>
  <c r="Q161" i="4"/>
  <c r="M161" i="4" s="1"/>
  <c r="K161" i="4"/>
  <c r="Z161" i="4" s="1"/>
  <c r="T160" i="4"/>
  <c r="S160" i="4"/>
  <c r="O160" i="4" s="1"/>
  <c r="R160" i="4"/>
  <c r="N160" i="4" s="1"/>
  <c r="Q160" i="4"/>
  <c r="M160" i="4" s="1"/>
  <c r="K160" i="4"/>
  <c r="Z160" i="4" s="1"/>
  <c r="T159" i="4"/>
  <c r="S159" i="4"/>
  <c r="O159" i="4" s="1"/>
  <c r="R159" i="4"/>
  <c r="N159" i="4" s="1"/>
  <c r="Q159" i="4"/>
  <c r="M159" i="4" s="1"/>
  <c r="K159" i="4"/>
  <c r="Z159" i="4" s="1"/>
  <c r="T158" i="4"/>
  <c r="S158" i="4"/>
  <c r="O158" i="4" s="1"/>
  <c r="R158" i="4"/>
  <c r="N158" i="4" s="1"/>
  <c r="Q158" i="4"/>
  <c r="M158" i="4" s="1"/>
  <c r="K158" i="4"/>
  <c r="Z158" i="4" s="1"/>
  <c r="T157" i="4"/>
  <c r="S157" i="4"/>
  <c r="O157" i="4" s="1"/>
  <c r="R157" i="4"/>
  <c r="N157" i="4" s="1"/>
  <c r="Q157" i="4"/>
  <c r="M157" i="4" s="1"/>
  <c r="K157" i="4"/>
  <c r="Z157" i="4" s="1"/>
  <c r="T156" i="4"/>
  <c r="S156" i="4"/>
  <c r="O156" i="4" s="1"/>
  <c r="R156" i="4"/>
  <c r="N156" i="4" s="1"/>
  <c r="Q156" i="4"/>
  <c r="M156" i="4" s="1"/>
  <c r="K156" i="4"/>
  <c r="Z156" i="4" s="1"/>
  <c r="T154" i="4"/>
  <c r="S154" i="4"/>
  <c r="O154" i="4" s="1"/>
  <c r="R154" i="4"/>
  <c r="N154" i="4" s="1"/>
  <c r="Q154" i="4"/>
  <c r="M154" i="4" s="1"/>
  <c r="K154" i="4"/>
  <c r="Z154" i="4" s="1"/>
  <c r="T153" i="4"/>
  <c r="S153" i="4"/>
  <c r="O153" i="4" s="1"/>
  <c r="R153" i="4"/>
  <c r="N153" i="4" s="1"/>
  <c r="Q153" i="4"/>
  <c r="M153" i="4" s="1"/>
  <c r="K153" i="4"/>
  <c r="Z153" i="4" s="1"/>
  <c r="T152" i="4"/>
  <c r="S152" i="4"/>
  <c r="O152" i="4" s="1"/>
  <c r="R152" i="4"/>
  <c r="N152" i="4" s="1"/>
  <c r="Q152" i="4"/>
  <c r="M152" i="4" s="1"/>
  <c r="K152" i="4"/>
  <c r="Z152" i="4" s="1"/>
  <c r="T150" i="4"/>
  <c r="S150" i="4"/>
  <c r="O150" i="4" s="1"/>
  <c r="R150" i="4"/>
  <c r="N150" i="4" s="1"/>
  <c r="Q150" i="4"/>
  <c r="M150" i="4" s="1"/>
  <c r="K150" i="4"/>
  <c r="Z150" i="4" s="1"/>
  <c r="T147" i="4"/>
  <c r="S147" i="4"/>
  <c r="O147" i="4" s="1"/>
  <c r="R147" i="4"/>
  <c r="N147" i="4" s="1"/>
  <c r="Q147" i="4"/>
  <c r="M147" i="4" s="1"/>
  <c r="K147" i="4"/>
  <c r="Z147" i="4" s="1"/>
  <c r="T146" i="4"/>
  <c r="S146" i="4"/>
  <c r="O146" i="4" s="1"/>
  <c r="R146" i="4"/>
  <c r="N146" i="4" s="1"/>
  <c r="Q146" i="4"/>
  <c r="M146" i="4" s="1"/>
  <c r="K146" i="4"/>
  <c r="Z146" i="4" s="1"/>
  <c r="T145" i="4"/>
  <c r="S145" i="4"/>
  <c r="O145" i="4" s="1"/>
  <c r="R145" i="4"/>
  <c r="N145" i="4" s="1"/>
  <c r="Q145" i="4"/>
  <c r="M145" i="4" s="1"/>
  <c r="K145" i="4"/>
  <c r="Z145" i="4" s="1"/>
  <c r="T144" i="4"/>
  <c r="S144" i="4"/>
  <c r="O144" i="4" s="1"/>
  <c r="R144" i="4"/>
  <c r="N144" i="4" s="1"/>
  <c r="Q144" i="4"/>
  <c r="M144" i="4" s="1"/>
  <c r="K144" i="4"/>
  <c r="Z144" i="4" s="1"/>
  <c r="T143" i="4"/>
  <c r="S143" i="4"/>
  <c r="O143" i="4" s="1"/>
  <c r="R143" i="4"/>
  <c r="N143" i="4" s="1"/>
  <c r="Q143" i="4"/>
  <c r="M143" i="4" s="1"/>
  <c r="K143" i="4"/>
  <c r="Z143" i="4" s="1"/>
  <c r="T141" i="4"/>
  <c r="S141" i="4"/>
  <c r="O141" i="4" s="1"/>
  <c r="R141" i="4"/>
  <c r="N141" i="4" s="1"/>
  <c r="Q141" i="4"/>
  <c r="M141" i="4" s="1"/>
  <c r="K141" i="4"/>
  <c r="Z141" i="4" s="1"/>
  <c r="T140" i="4"/>
  <c r="S140" i="4"/>
  <c r="O140" i="4" s="1"/>
  <c r="R140" i="4"/>
  <c r="N140" i="4" s="1"/>
  <c r="Q140" i="4"/>
  <c r="M140" i="4" s="1"/>
  <c r="K140" i="4"/>
  <c r="Z140" i="4" s="1"/>
  <c r="T139" i="4"/>
  <c r="S139" i="4"/>
  <c r="O139" i="4" s="1"/>
  <c r="R139" i="4"/>
  <c r="N139" i="4" s="1"/>
  <c r="Q139" i="4"/>
  <c r="M139" i="4" s="1"/>
  <c r="K139" i="4"/>
  <c r="Z139" i="4" s="1"/>
  <c r="T138" i="4"/>
  <c r="S138" i="4"/>
  <c r="O138" i="4" s="1"/>
  <c r="R138" i="4"/>
  <c r="N138" i="4" s="1"/>
  <c r="Q138" i="4"/>
  <c r="M138" i="4" s="1"/>
  <c r="K138" i="4"/>
  <c r="Z138" i="4" s="1"/>
  <c r="T137" i="4"/>
  <c r="S137" i="4"/>
  <c r="O137" i="4" s="1"/>
  <c r="R137" i="4"/>
  <c r="N137" i="4" s="1"/>
  <c r="Q137" i="4"/>
  <c r="M137" i="4" s="1"/>
  <c r="K137" i="4"/>
  <c r="Z137" i="4" s="1"/>
  <c r="T136" i="4"/>
  <c r="S136" i="4"/>
  <c r="O136" i="4" s="1"/>
  <c r="R136" i="4"/>
  <c r="N136" i="4" s="1"/>
  <c r="Q136" i="4"/>
  <c r="M136" i="4" s="1"/>
  <c r="K136" i="4"/>
  <c r="Z136" i="4" s="1"/>
  <c r="T135" i="4"/>
  <c r="S135" i="4"/>
  <c r="O135" i="4" s="1"/>
  <c r="R135" i="4"/>
  <c r="N135" i="4" s="1"/>
  <c r="Q135" i="4"/>
  <c r="M135" i="4" s="1"/>
  <c r="K135" i="4"/>
  <c r="Z135" i="4" s="1"/>
  <c r="T134" i="4"/>
  <c r="S134" i="4"/>
  <c r="O134" i="4" s="1"/>
  <c r="R134" i="4"/>
  <c r="N134" i="4" s="1"/>
  <c r="Q134" i="4"/>
  <c r="M134" i="4" s="1"/>
  <c r="K134" i="4"/>
  <c r="Z134" i="4" s="1"/>
  <c r="T133" i="4"/>
  <c r="S133" i="4"/>
  <c r="O133" i="4" s="1"/>
  <c r="R133" i="4"/>
  <c r="N133" i="4" s="1"/>
  <c r="Q133" i="4"/>
  <c r="M133" i="4" s="1"/>
  <c r="K133" i="4"/>
  <c r="Z133" i="4" s="1"/>
  <c r="T132" i="4"/>
  <c r="S132" i="4"/>
  <c r="O132" i="4" s="1"/>
  <c r="R132" i="4"/>
  <c r="N132" i="4" s="1"/>
  <c r="Q132" i="4"/>
  <c r="M132" i="4" s="1"/>
  <c r="K132" i="4"/>
  <c r="Z132" i="4" s="1"/>
  <c r="T131" i="4"/>
  <c r="S131" i="4"/>
  <c r="O131" i="4" s="1"/>
  <c r="R131" i="4"/>
  <c r="N131" i="4" s="1"/>
  <c r="Q131" i="4"/>
  <c r="M131" i="4" s="1"/>
  <c r="K131" i="4"/>
  <c r="Z131" i="4" s="1"/>
  <c r="T130" i="4"/>
  <c r="S130" i="4"/>
  <c r="O130" i="4" s="1"/>
  <c r="R130" i="4"/>
  <c r="N130" i="4" s="1"/>
  <c r="Q130" i="4"/>
  <c r="M130" i="4" s="1"/>
  <c r="K130" i="4"/>
  <c r="Z130" i="4" s="1"/>
  <c r="T129" i="4"/>
  <c r="S129" i="4"/>
  <c r="O129" i="4" s="1"/>
  <c r="R129" i="4"/>
  <c r="N129" i="4" s="1"/>
  <c r="Q129" i="4"/>
  <c r="M129" i="4" s="1"/>
  <c r="K129" i="4"/>
  <c r="Z129" i="4" s="1"/>
  <c r="T128" i="4"/>
  <c r="S128" i="4"/>
  <c r="O128" i="4" s="1"/>
  <c r="R128" i="4"/>
  <c r="N128" i="4" s="1"/>
  <c r="Q128" i="4"/>
  <c r="M128" i="4" s="1"/>
  <c r="K128" i="4"/>
  <c r="Z128" i="4" s="1"/>
  <c r="T127" i="4"/>
  <c r="S127" i="4"/>
  <c r="O127" i="4" s="1"/>
  <c r="R127" i="4"/>
  <c r="N127" i="4" s="1"/>
  <c r="Q127" i="4"/>
  <c r="M127" i="4" s="1"/>
  <c r="K127" i="4"/>
  <c r="Z127" i="4" s="1"/>
  <c r="T125" i="4"/>
  <c r="S125" i="4"/>
  <c r="O125" i="4" s="1"/>
  <c r="R125" i="4"/>
  <c r="N125" i="4" s="1"/>
  <c r="Q125" i="4"/>
  <c r="M125" i="4" s="1"/>
  <c r="K125" i="4"/>
  <c r="Z125" i="4" s="1"/>
  <c r="T124" i="4"/>
  <c r="S124" i="4"/>
  <c r="O124" i="4" s="1"/>
  <c r="R124" i="4"/>
  <c r="N124" i="4" s="1"/>
  <c r="Q124" i="4"/>
  <c r="M124" i="4" s="1"/>
  <c r="K124" i="4"/>
  <c r="Z124" i="4" s="1"/>
  <c r="T123" i="4"/>
  <c r="S123" i="4"/>
  <c r="O123" i="4" s="1"/>
  <c r="R123" i="4"/>
  <c r="N123" i="4" s="1"/>
  <c r="Q123" i="4"/>
  <c r="M123" i="4" s="1"/>
  <c r="K123" i="4"/>
  <c r="Z123" i="4" s="1"/>
  <c r="T122" i="4"/>
  <c r="S122" i="4"/>
  <c r="O122" i="4" s="1"/>
  <c r="R122" i="4"/>
  <c r="N122" i="4" s="1"/>
  <c r="K122" i="4"/>
  <c r="Z122" i="4" s="1"/>
  <c r="T121" i="4"/>
  <c r="S121" i="4"/>
  <c r="O121" i="4" s="1"/>
  <c r="R121" i="4"/>
  <c r="N121" i="4" s="1"/>
  <c r="K121" i="4"/>
  <c r="Z121" i="4" s="1"/>
  <c r="T118" i="4"/>
  <c r="S118" i="4"/>
  <c r="O118" i="4" s="1"/>
  <c r="R118" i="4"/>
  <c r="N118" i="4" s="1"/>
  <c r="Q118" i="4"/>
  <c r="M118" i="4" s="1"/>
  <c r="K118" i="4"/>
  <c r="Z118" i="4" s="1"/>
  <c r="T117" i="4"/>
  <c r="S117" i="4"/>
  <c r="O117" i="4" s="1"/>
  <c r="R117" i="4"/>
  <c r="N117" i="4" s="1"/>
  <c r="Q117" i="4"/>
  <c r="M117" i="4" s="1"/>
  <c r="K117" i="4"/>
  <c r="Z117" i="4" s="1"/>
  <c r="T116" i="4"/>
  <c r="S116" i="4"/>
  <c r="O116" i="4" s="1"/>
  <c r="R116" i="4"/>
  <c r="N116" i="4" s="1"/>
  <c r="Q116" i="4"/>
  <c r="M116" i="4" s="1"/>
  <c r="K116" i="4"/>
  <c r="Z116" i="4" s="1"/>
  <c r="T115" i="4"/>
  <c r="S115" i="4"/>
  <c r="O115" i="4" s="1"/>
  <c r="R115" i="4"/>
  <c r="N115" i="4" s="1"/>
  <c r="Q115" i="4"/>
  <c r="M115" i="4" s="1"/>
  <c r="K115" i="4"/>
  <c r="Z115" i="4" s="1"/>
  <c r="T114" i="4"/>
  <c r="S114" i="4"/>
  <c r="O114" i="4" s="1"/>
  <c r="R114" i="4"/>
  <c r="N114" i="4" s="1"/>
  <c r="Q114" i="4"/>
  <c r="M114" i="4" s="1"/>
  <c r="K114" i="4"/>
  <c r="Z114" i="4" s="1"/>
  <c r="T102" i="4"/>
  <c r="S102" i="4"/>
  <c r="O102" i="4" s="1"/>
  <c r="R102" i="4"/>
  <c r="N102" i="4" s="1"/>
  <c r="Q102" i="4"/>
  <c r="M102" i="4" s="1"/>
  <c r="K102" i="4"/>
  <c r="Z102" i="4" s="1"/>
  <c r="T99" i="4"/>
  <c r="S99" i="4"/>
  <c r="O99" i="4" s="1"/>
  <c r="R99" i="4"/>
  <c r="N99" i="4" s="1"/>
  <c r="Q99" i="4"/>
  <c r="M99" i="4" s="1"/>
  <c r="K99" i="4"/>
  <c r="Z99" i="4" s="1"/>
  <c r="T98" i="4"/>
  <c r="S98" i="4"/>
  <c r="O98" i="4" s="1"/>
  <c r="R98" i="4"/>
  <c r="N98" i="4" s="1"/>
  <c r="Q98" i="4"/>
  <c r="M98" i="4" s="1"/>
  <c r="K98" i="4"/>
  <c r="Z98" i="4" s="1"/>
  <c r="T97" i="4"/>
  <c r="S97" i="4"/>
  <c r="O97" i="4" s="1"/>
  <c r="R97" i="4"/>
  <c r="N97" i="4" s="1"/>
  <c r="Q97" i="4"/>
  <c r="M97" i="4" s="1"/>
  <c r="K97" i="4"/>
  <c r="Z97" i="4" s="1"/>
  <c r="T94" i="4"/>
  <c r="S94" i="4"/>
  <c r="O94" i="4" s="1"/>
  <c r="R94" i="4"/>
  <c r="N94" i="4" s="1"/>
  <c r="Q94" i="4"/>
  <c r="M94" i="4" s="1"/>
  <c r="K94" i="4"/>
  <c r="Z94" i="4" s="1"/>
  <c r="T90" i="4"/>
  <c r="S90" i="4"/>
  <c r="O90" i="4" s="1"/>
  <c r="R90" i="4"/>
  <c r="N90" i="4" s="1"/>
  <c r="Q90" i="4"/>
  <c r="M90" i="4" s="1"/>
  <c r="K90" i="4"/>
  <c r="Z90" i="4" s="1"/>
  <c r="T88" i="4"/>
  <c r="S88" i="4"/>
  <c r="O88" i="4" s="1"/>
  <c r="R88" i="4"/>
  <c r="N88" i="4" s="1"/>
  <c r="Q88" i="4"/>
  <c r="M88" i="4" s="1"/>
  <c r="K88" i="4"/>
  <c r="Z88" i="4" s="1"/>
  <c r="T87" i="4"/>
  <c r="S87" i="4"/>
  <c r="O87" i="4" s="1"/>
  <c r="R87" i="4"/>
  <c r="N87" i="4" s="1"/>
  <c r="Q87" i="4"/>
  <c r="M87" i="4" s="1"/>
  <c r="K87" i="4"/>
  <c r="Z87" i="4" s="1"/>
  <c r="T86" i="4"/>
  <c r="S86" i="4"/>
  <c r="O86" i="4" s="1"/>
  <c r="R86" i="4"/>
  <c r="N86" i="4" s="1"/>
  <c r="Q86" i="4"/>
  <c r="M86" i="4" s="1"/>
  <c r="K86" i="4"/>
  <c r="Z86" i="4" s="1"/>
  <c r="T85" i="4"/>
  <c r="S85" i="4"/>
  <c r="O85" i="4" s="1"/>
  <c r="R85" i="4"/>
  <c r="N85" i="4" s="1"/>
  <c r="K85" i="4"/>
  <c r="Z85" i="4" s="1"/>
  <c r="T84" i="4"/>
  <c r="S84" i="4"/>
  <c r="O84" i="4" s="1"/>
  <c r="R84" i="4"/>
  <c r="N84" i="4" s="1"/>
  <c r="Q84" i="4"/>
  <c r="M84" i="4" s="1"/>
  <c r="K84" i="4"/>
  <c r="Z84" i="4" s="1"/>
  <c r="T83" i="4"/>
  <c r="S83" i="4"/>
  <c r="O83" i="4" s="1"/>
  <c r="R83" i="4"/>
  <c r="N83" i="4" s="1"/>
  <c r="Q83" i="4"/>
  <c r="M83" i="4" s="1"/>
  <c r="K83" i="4"/>
  <c r="Z83" i="4" s="1"/>
  <c r="T80" i="4"/>
  <c r="S80" i="4"/>
  <c r="O80" i="4" s="1"/>
  <c r="R80" i="4"/>
  <c r="N80" i="4" s="1"/>
  <c r="Q80" i="4"/>
  <c r="M80" i="4" s="1"/>
  <c r="K80" i="4"/>
  <c r="Z80" i="4" s="1"/>
  <c r="T79" i="4"/>
  <c r="S79" i="4"/>
  <c r="O79" i="4" s="1"/>
  <c r="R79" i="4"/>
  <c r="N79" i="4" s="1"/>
  <c r="Q79" i="4"/>
  <c r="M79" i="4" s="1"/>
  <c r="K79" i="4"/>
  <c r="Z79" i="4" s="1"/>
  <c r="T78" i="4"/>
  <c r="S78" i="4"/>
  <c r="O78" i="4" s="1"/>
  <c r="R78" i="4"/>
  <c r="N78" i="4" s="1"/>
  <c r="Q78" i="4"/>
  <c r="M78" i="4" s="1"/>
  <c r="K78" i="4"/>
  <c r="Z78" i="4" s="1"/>
  <c r="T77" i="4"/>
  <c r="S77" i="4"/>
  <c r="O77" i="4" s="1"/>
  <c r="R77" i="4"/>
  <c r="N77" i="4" s="1"/>
  <c r="Q77" i="4"/>
  <c r="M77" i="4" s="1"/>
  <c r="K77" i="4"/>
  <c r="Z77" i="4" s="1"/>
  <c r="T76" i="4"/>
  <c r="S76" i="4"/>
  <c r="O76" i="4" s="1"/>
  <c r="R76" i="4"/>
  <c r="N76" i="4" s="1"/>
  <c r="Q76" i="4"/>
  <c r="M76" i="4" s="1"/>
  <c r="K76" i="4"/>
  <c r="Z76" i="4" s="1"/>
  <c r="T74" i="4"/>
  <c r="S74" i="4"/>
  <c r="O74" i="4" s="1"/>
  <c r="R74" i="4"/>
  <c r="N74" i="4" s="1"/>
  <c r="Q74" i="4"/>
  <c r="M74" i="4" s="1"/>
  <c r="K74" i="4"/>
  <c r="Z74" i="4" s="1"/>
  <c r="T73" i="4"/>
  <c r="S73" i="4"/>
  <c r="O73" i="4" s="1"/>
  <c r="R73" i="4"/>
  <c r="N73" i="4" s="1"/>
  <c r="K73" i="4"/>
  <c r="Z73" i="4" s="1"/>
  <c r="T71" i="4"/>
  <c r="S71" i="4"/>
  <c r="O71" i="4" s="1"/>
  <c r="R71" i="4"/>
  <c r="N71" i="4" s="1"/>
  <c r="Q71" i="4"/>
  <c r="M71" i="4" s="1"/>
  <c r="K71" i="4"/>
  <c r="Z71" i="4" s="1"/>
  <c r="T70" i="4"/>
  <c r="S70" i="4"/>
  <c r="O70" i="4" s="1"/>
  <c r="R70" i="4"/>
  <c r="N70" i="4" s="1"/>
  <c r="K70" i="4"/>
  <c r="Z70" i="4" s="1"/>
  <c r="T63" i="4"/>
  <c r="S63" i="4"/>
  <c r="O63" i="4" s="1"/>
  <c r="R63" i="4"/>
  <c r="N63" i="4" s="1"/>
  <c r="Q63" i="4"/>
  <c r="M63" i="4" s="1"/>
  <c r="K63" i="4"/>
  <c r="Z63" i="4" s="1"/>
  <c r="T62" i="4"/>
  <c r="S62" i="4"/>
  <c r="O62" i="4" s="1"/>
  <c r="R62" i="4"/>
  <c r="N62" i="4" s="1"/>
  <c r="K62" i="4"/>
  <c r="Z62" i="4" s="1"/>
  <c r="T61" i="4"/>
  <c r="S61" i="4"/>
  <c r="O61" i="4" s="1"/>
  <c r="R61" i="4"/>
  <c r="N61" i="4" s="1"/>
  <c r="Q61" i="4"/>
  <c r="M61" i="4" s="1"/>
  <c r="K61" i="4"/>
  <c r="Z61" i="4" s="1"/>
  <c r="T59" i="4"/>
  <c r="S59" i="4"/>
  <c r="O59" i="4" s="1"/>
  <c r="R59" i="4"/>
  <c r="N59" i="4" s="1"/>
  <c r="Q59" i="4"/>
  <c r="M59" i="4" s="1"/>
  <c r="K59" i="4"/>
  <c r="Z59" i="4" s="1"/>
  <c r="T58" i="4"/>
  <c r="S58" i="4"/>
  <c r="O58" i="4" s="1"/>
  <c r="R58" i="4"/>
  <c r="N58" i="4" s="1"/>
  <c r="K58" i="4"/>
  <c r="Z58" i="4" s="1"/>
  <c r="T51" i="4"/>
  <c r="S51" i="4"/>
  <c r="O51" i="4" s="1"/>
  <c r="R51" i="4"/>
  <c r="N51" i="4" s="1"/>
  <c r="Q51" i="4"/>
  <c r="M51" i="4" s="1"/>
  <c r="K51" i="4"/>
  <c r="Z51" i="4" s="1"/>
  <c r="T50" i="4"/>
  <c r="S50" i="4"/>
  <c r="O50" i="4" s="1"/>
  <c r="R50" i="4"/>
  <c r="N50" i="4" s="1"/>
  <c r="K50" i="4"/>
  <c r="Z50" i="4" s="1"/>
  <c r="T49" i="4"/>
  <c r="S49" i="4"/>
  <c r="O49" i="4" s="1"/>
  <c r="R49" i="4"/>
  <c r="N49" i="4" s="1"/>
  <c r="Q49" i="4"/>
  <c r="M49" i="4" s="1"/>
  <c r="K49" i="4"/>
  <c r="Z49" i="4" s="1"/>
  <c r="T46" i="4"/>
  <c r="S46" i="4"/>
  <c r="O46" i="4" s="1"/>
  <c r="R46" i="4"/>
  <c r="N46" i="4" s="1"/>
  <c r="Q46" i="4"/>
  <c r="M46" i="4" s="1"/>
  <c r="K46" i="4"/>
  <c r="Z46" i="4" s="1"/>
  <c r="T45" i="4"/>
  <c r="S45" i="4"/>
  <c r="O45" i="4" s="1"/>
  <c r="R45" i="4"/>
  <c r="N45" i="4" s="1"/>
  <c r="Q45" i="4"/>
  <c r="M45" i="4" s="1"/>
  <c r="K45" i="4"/>
  <c r="Z45" i="4" s="1"/>
  <c r="T39" i="4"/>
  <c r="S39" i="4"/>
  <c r="O39" i="4" s="1"/>
  <c r="R39" i="4"/>
  <c r="N39" i="4" s="1"/>
  <c r="Q39" i="4"/>
  <c r="M39" i="4" s="1"/>
  <c r="K39" i="4"/>
  <c r="Z39" i="4" s="1"/>
  <c r="T38" i="4"/>
  <c r="S38" i="4"/>
  <c r="O38" i="4" s="1"/>
  <c r="R38" i="4"/>
  <c r="N38" i="4" s="1"/>
  <c r="Q38" i="4"/>
  <c r="M38" i="4" s="1"/>
  <c r="K38" i="4"/>
  <c r="Z38" i="4" s="1"/>
  <c r="T37" i="4"/>
  <c r="S37" i="4"/>
  <c r="O37" i="4" s="1"/>
  <c r="R37" i="4"/>
  <c r="N37" i="4" s="1"/>
  <c r="Q37" i="4"/>
  <c r="M37" i="4" s="1"/>
  <c r="K37" i="4"/>
  <c r="Z37" i="4" s="1"/>
  <c r="T36" i="4"/>
  <c r="S36" i="4"/>
  <c r="O36" i="4" s="1"/>
  <c r="R36" i="4"/>
  <c r="N36" i="4" s="1"/>
  <c r="Q36" i="4"/>
  <c r="M36" i="4" s="1"/>
  <c r="K36" i="4"/>
  <c r="Z36" i="4" s="1"/>
  <c r="T35" i="4"/>
  <c r="S35" i="4"/>
  <c r="O35" i="4" s="1"/>
  <c r="R35" i="4"/>
  <c r="N35" i="4" s="1"/>
  <c r="Q35" i="4"/>
  <c r="M35" i="4" s="1"/>
  <c r="K35" i="4"/>
  <c r="Z35" i="4" s="1"/>
  <c r="T34" i="4"/>
  <c r="S34" i="4"/>
  <c r="O34" i="4" s="1"/>
  <c r="R34" i="4"/>
  <c r="N34" i="4" s="1"/>
  <c r="Q34" i="4"/>
  <c r="M34" i="4" s="1"/>
  <c r="K34" i="4"/>
  <c r="Z34" i="4" s="1"/>
  <c r="T33" i="4"/>
  <c r="S33" i="4"/>
  <c r="O33" i="4" s="1"/>
  <c r="R33" i="4"/>
  <c r="N33" i="4" s="1"/>
  <c r="Q33" i="4"/>
  <c r="M33" i="4" s="1"/>
  <c r="K33" i="4"/>
  <c r="Z33" i="4" s="1"/>
  <c r="T32" i="4"/>
  <c r="S32" i="4"/>
  <c r="O32" i="4" s="1"/>
  <c r="R32" i="4"/>
  <c r="N32" i="4" s="1"/>
  <c r="Q32" i="4"/>
  <c r="M32" i="4" s="1"/>
  <c r="K32" i="4"/>
  <c r="Z32" i="4" s="1"/>
  <c r="T31" i="4"/>
  <c r="S31" i="4"/>
  <c r="O31" i="4" s="1"/>
  <c r="R31" i="4"/>
  <c r="N31" i="4" s="1"/>
  <c r="K31" i="4"/>
  <c r="Z31" i="4" s="1"/>
  <c r="T29" i="4"/>
  <c r="S29" i="4"/>
  <c r="O29" i="4" s="1"/>
  <c r="R29" i="4"/>
  <c r="N29" i="4" s="1"/>
  <c r="K29" i="4"/>
  <c r="Z29" i="4" s="1"/>
  <c r="T28" i="4"/>
  <c r="S28" i="4"/>
  <c r="O28" i="4" s="1"/>
  <c r="R28" i="4"/>
  <c r="N28" i="4" s="1"/>
  <c r="Q28" i="4"/>
  <c r="M28" i="4" s="1"/>
  <c r="K28" i="4"/>
  <c r="Z28" i="4" s="1"/>
  <c r="T27" i="4"/>
  <c r="S27" i="4"/>
  <c r="O27" i="4" s="1"/>
  <c r="R27" i="4"/>
  <c r="N27" i="4" s="1"/>
  <c r="Q27" i="4"/>
  <c r="M27" i="4" s="1"/>
  <c r="K27" i="4"/>
  <c r="Z27" i="4" s="1"/>
  <c r="T26" i="4"/>
  <c r="S26" i="4"/>
  <c r="O26" i="4" s="1"/>
  <c r="R26" i="4"/>
  <c r="N26" i="4" s="1"/>
  <c r="Q26" i="4"/>
  <c r="M26" i="4" s="1"/>
  <c r="K26" i="4"/>
  <c r="Z26" i="4" s="1"/>
  <c r="T25" i="4"/>
  <c r="S25" i="4"/>
  <c r="O25" i="4" s="1"/>
  <c r="R25" i="4"/>
  <c r="N25" i="4" s="1"/>
  <c r="Q25" i="4"/>
  <c r="M25" i="4" s="1"/>
  <c r="K25" i="4"/>
  <c r="Z25" i="4" s="1"/>
  <c r="T24" i="4"/>
  <c r="S24" i="4"/>
  <c r="O24" i="4" s="1"/>
  <c r="R24" i="4"/>
  <c r="N24" i="4" s="1"/>
  <c r="Q24" i="4"/>
  <c r="M24" i="4" s="1"/>
  <c r="K24" i="4"/>
  <c r="Z24" i="4" s="1"/>
  <c r="T23" i="4"/>
  <c r="S23" i="4"/>
  <c r="O23" i="4" s="1"/>
  <c r="R23" i="4"/>
  <c r="N23" i="4" s="1"/>
  <c r="Q23" i="4"/>
  <c r="M23" i="4" s="1"/>
  <c r="K23" i="4"/>
  <c r="Z23" i="4" s="1"/>
  <c r="T22" i="4"/>
  <c r="S22" i="4"/>
  <c r="O22" i="4" s="1"/>
  <c r="R22" i="4"/>
  <c r="N22" i="4" s="1"/>
  <c r="Q22" i="4"/>
  <c r="M22" i="4" s="1"/>
  <c r="K22" i="4"/>
  <c r="Z22" i="4" s="1"/>
  <c r="T21" i="4"/>
  <c r="S21" i="4"/>
  <c r="O21" i="4" s="1"/>
  <c r="R21" i="4"/>
  <c r="N21" i="4" s="1"/>
  <c r="Q21" i="4"/>
  <c r="M21" i="4" s="1"/>
  <c r="K21" i="4"/>
  <c r="Z21" i="4" s="1"/>
  <c r="T20" i="4"/>
  <c r="S20" i="4"/>
  <c r="O20" i="4" s="1"/>
  <c r="R20" i="4"/>
  <c r="N20" i="4" s="1"/>
  <c r="Q20" i="4"/>
  <c r="M20" i="4" s="1"/>
  <c r="K20" i="4"/>
  <c r="Z20" i="4" s="1"/>
  <c r="T19" i="4"/>
  <c r="S19" i="4"/>
  <c r="O19" i="4" s="1"/>
  <c r="R19" i="4"/>
  <c r="N19" i="4" s="1"/>
  <c r="Q19" i="4"/>
  <c r="M19" i="4" s="1"/>
  <c r="K19" i="4"/>
  <c r="Z19" i="4" s="1"/>
  <c r="T18" i="4"/>
  <c r="S18" i="4"/>
  <c r="O18" i="4" s="1"/>
  <c r="R18" i="4"/>
  <c r="N18" i="4" s="1"/>
  <c r="Q18" i="4"/>
  <c r="M18" i="4" s="1"/>
  <c r="K18" i="4"/>
  <c r="Z18" i="4" s="1"/>
  <c r="T17" i="4"/>
  <c r="S17" i="4"/>
  <c r="O17" i="4" s="1"/>
  <c r="R17" i="4"/>
  <c r="N17" i="4" s="1"/>
  <c r="Q17" i="4"/>
  <c r="M17" i="4" s="1"/>
  <c r="K17" i="4"/>
  <c r="Z17" i="4" s="1"/>
  <c r="T16" i="4"/>
  <c r="S16" i="4"/>
  <c r="O16" i="4" s="1"/>
  <c r="R16" i="4"/>
  <c r="N16" i="4" s="1"/>
  <c r="Q16" i="4"/>
  <c r="M16" i="4" s="1"/>
  <c r="T15" i="4"/>
  <c r="S15" i="4"/>
  <c r="O15" i="4" s="1"/>
  <c r="R15" i="4"/>
  <c r="N15" i="4" s="1"/>
  <c r="Q15" i="4"/>
  <c r="M15" i="4" s="1"/>
  <c r="T14" i="4"/>
  <c r="S14" i="4"/>
  <c r="O14" i="4" s="1"/>
  <c r="R14" i="4"/>
  <c r="N14" i="4" s="1"/>
  <c r="Q14" i="4"/>
  <c r="M14" i="4" s="1"/>
  <c r="T13" i="4"/>
  <c r="S13" i="4"/>
  <c r="O13" i="4" s="1"/>
  <c r="R13" i="4"/>
  <c r="N13" i="4" s="1"/>
  <c r="Q13" i="4"/>
  <c r="M13" i="4" s="1"/>
  <c r="T12" i="4"/>
  <c r="S12" i="4"/>
  <c r="O12" i="4" s="1"/>
  <c r="R12" i="4"/>
  <c r="N12" i="4" s="1"/>
  <c r="Q12" i="4"/>
  <c r="M12" i="4" s="1"/>
  <c r="T11" i="4"/>
  <c r="S11" i="4"/>
  <c r="O11" i="4" s="1"/>
  <c r="R11" i="4"/>
  <c r="N11" i="4" s="1"/>
  <c r="Q11" i="4"/>
  <c r="M11" i="4" s="1"/>
  <c r="T10" i="4"/>
  <c r="S10" i="4"/>
  <c r="O10" i="4" s="1"/>
  <c r="R10" i="4"/>
  <c r="N10" i="4" s="1"/>
  <c r="Q10" i="4"/>
  <c r="M10" i="4" s="1"/>
  <c r="C6" i="4"/>
  <c r="B6" i="4"/>
  <c r="C5" i="4"/>
  <c r="B5" i="4"/>
  <c r="C4" i="4"/>
  <c r="B4" i="4"/>
  <c r="B3" i="4"/>
  <c r="C2" i="4"/>
  <c r="B2" i="4"/>
  <c r="J481" i="3"/>
  <c r="K481" i="3" s="1"/>
  <c r="I481" i="3"/>
  <c r="J480" i="3"/>
  <c r="I480" i="3"/>
  <c r="J479" i="3"/>
  <c r="K479" i="3" s="1"/>
  <c r="J478" i="3"/>
  <c r="K478" i="3" s="1"/>
  <c r="E478" i="3"/>
  <c r="E479" i="3" s="1"/>
  <c r="G479" i="3" s="1"/>
  <c r="J477" i="3"/>
  <c r="K477" i="3" s="1"/>
  <c r="J476" i="3"/>
  <c r="K476" i="3" s="1"/>
  <c r="J475" i="3"/>
  <c r="K475" i="3" s="1"/>
  <c r="J474" i="3"/>
  <c r="K474" i="3" s="1"/>
  <c r="J473" i="3"/>
  <c r="K473" i="3" s="1"/>
  <c r="J472" i="3"/>
  <c r="K472" i="3" s="1"/>
  <c r="J471" i="3"/>
  <c r="K471" i="3" s="1"/>
  <c r="J470" i="3"/>
  <c r="K470" i="3" s="1"/>
  <c r="J469" i="3"/>
  <c r="K469" i="3" s="1"/>
  <c r="J468" i="3"/>
  <c r="K468" i="3" s="1"/>
  <c r="J467" i="3"/>
  <c r="K467" i="3" s="1"/>
  <c r="J466" i="3"/>
  <c r="K466" i="3" s="1"/>
  <c r="J465" i="3"/>
  <c r="K465" i="3" s="1"/>
  <c r="J464" i="3"/>
  <c r="K464" i="3" s="1"/>
  <c r="E464" i="3"/>
  <c r="E465" i="3" s="1"/>
  <c r="I465" i="3" s="1"/>
  <c r="J463" i="3"/>
  <c r="K463" i="3" s="1"/>
  <c r="J462" i="3"/>
  <c r="K462" i="3" s="1"/>
  <c r="J461" i="3"/>
  <c r="K461" i="3" s="1"/>
  <c r="J460" i="3"/>
  <c r="K460" i="3" s="1"/>
  <c r="J459" i="3"/>
  <c r="K459" i="3" s="1"/>
  <c r="J458" i="3"/>
  <c r="K458" i="3" s="1"/>
  <c r="J457" i="3"/>
  <c r="K457" i="3" s="1"/>
  <c r="J456" i="3"/>
  <c r="K456" i="3" s="1"/>
  <c r="J455" i="3"/>
  <c r="K455" i="3" s="1"/>
  <c r="J454" i="3"/>
  <c r="K454" i="3" s="1"/>
  <c r="J453" i="3"/>
  <c r="K453" i="3" s="1"/>
  <c r="J452" i="3"/>
  <c r="K452" i="3" s="1"/>
  <c r="J451" i="3"/>
  <c r="K451" i="3" s="1"/>
  <c r="J450" i="3"/>
  <c r="K450" i="3" s="1"/>
  <c r="E450" i="3"/>
  <c r="E451" i="3" s="1"/>
  <c r="I451" i="3" s="1"/>
  <c r="J449" i="3"/>
  <c r="K449" i="3" s="1"/>
  <c r="J448" i="3"/>
  <c r="K448" i="3" s="1"/>
  <c r="J447" i="3"/>
  <c r="K447" i="3" s="1"/>
  <c r="J446" i="3"/>
  <c r="K446" i="3" s="1"/>
  <c r="J445" i="3"/>
  <c r="K445" i="3" s="1"/>
  <c r="J444" i="3"/>
  <c r="K444" i="3" s="1"/>
  <c r="J443" i="3"/>
  <c r="K443" i="3" s="1"/>
  <c r="J442" i="3"/>
  <c r="K442" i="3" s="1"/>
  <c r="J441" i="3"/>
  <c r="K441" i="3" s="1"/>
  <c r="J440" i="3"/>
  <c r="K440" i="3" s="1"/>
  <c r="J439" i="3"/>
  <c r="K439" i="3" s="1"/>
  <c r="J438" i="3"/>
  <c r="K438" i="3" s="1"/>
  <c r="J437" i="3"/>
  <c r="K437" i="3" s="1"/>
  <c r="J436" i="3"/>
  <c r="K436" i="3" s="1"/>
  <c r="E436" i="3"/>
  <c r="I436" i="3" s="1"/>
  <c r="J435" i="3"/>
  <c r="K435" i="3" s="1"/>
  <c r="J434" i="3"/>
  <c r="K434" i="3" s="1"/>
  <c r="J433" i="3"/>
  <c r="K433" i="3" s="1"/>
  <c r="J432" i="3"/>
  <c r="K432" i="3" s="1"/>
  <c r="J431" i="3"/>
  <c r="K431" i="3" s="1"/>
  <c r="J430" i="3"/>
  <c r="K430" i="3" s="1"/>
  <c r="J429" i="3"/>
  <c r="K429" i="3" s="1"/>
  <c r="J428" i="3"/>
  <c r="K428" i="3" s="1"/>
  <c r="J427" i="3"/>
  <c r="K427" i="3" s="1"/>
  <c r="J426" i="3"/>
  <c r="K426" i="3" s="1"/>
  <c r="J425" i="3"/>
  <c r="K425" i="3" s="1"/>
  <c r="J424" i="3"/>
  <c r="K424" i="3" s="1"/>
  <c r="J423" i="3"/>
  <c r="K423" i="3" s="1"/>
  <c r="J422" i="3"/>
  <c r="K422" i="3" s="1"/>
  <c r="E422" i="3"/>
  <c r="E415" i="3" s="1"/>
  <c r="I415" i="3" s="1"/>
  <c r="J421" i="3"/>
  <c r="K421" i="3" s="1"/>
  <c r="J420" i="3"/>
  <c r="K420" i="3" s="1"/>
  <c r="J419" i="3"/>
  <c r="K419" i="3" s="1"/>
  <c r="J418" i="3"/>
  <c r="K418" i="3" s="1"/>
  <c r="J417" i="3"/>
  <c r="K417" i="3" s="1"/>
  <c r="J416" i="3"/>
  <c r="K416" i="3" s="1"/>
  <c r="J415" i="3"/>
  <c r="K415" i="3" s="1"/>
  <c r="J414" i="3"/>
  <c r="K414" i="3" s="1"/>
  <c r="J413" i="3"/>
  <c r="K413" i="3" s="1"/>
  <c r="J412" i="3"/>
  <c r="K412" i="3" s="1"/>
  <c r="J411" i="3"/>
  <c r="K411" i="3" s="1"/>
  <c r="J410" i="3"/>
  <c r="K410" i="3" s="1"/>
  <c r="J409" i="3"/>
  <c r="K409" i="3" s="1"/>
  <c r="J408" i="3"/>
  <c r="K408" i="3" s="1"/>
  <c r="E408" i="3"/>
  <c r="E401" i="3" s="1"/>
  <c r="I401" i="3" s="1"/>
  <c r="J407" i="3"/>
  <c r="K407" i="3" s="1"/>
  <c r="J406" i="3"/>
  <c r="K406" i="3" s="1"/>
  <c r="J405" i="3"/>
  <c r="K405" i="3" s="1"/>
  <c r="J404" i="3"/>
  <c r="K404" i="3" s="1"/>
  <c r="J403" i="3"/>
  <c r="K403" i="3" s="1"/>
  <c r="J402" i="3"/>
  <c r="K402" i="3" s="1"/>
  <c r="J401" i="3"/>
  <c r="K401" i="3" s="1"/>
  <c r="J400" i="3"/>
  <c r="K400" i="3" s="1"/>
  <c r="J399" i="3"/>
  <c r="K399" i="3" s="1"/>
  <c r="J398" i="3"/>
  <c r="K398" i="3" s="1"/>
  <c r="J397" i="3"/>
  <c r="K397" i="3" s="1"/>
  <c r="J396" i="3"/>
  <c r="K396" i="3" s="1"/>
  <c r="J395" i="3"/>
  <c r="K395" i="3" s="1"/>
  <c r="J394" i="3"/>
  <c r="K394" i="3" s="1"/>
  <c r="E394" i="3"/>
  <c r="I394" i="3" s="1"/>
  <c r="J393" i="3"/>
  <c r="K393" i="3" s="1"/>
  <c r="J392" i="3"/>
  <c r="K392" i="3" s="1"/>
  <c r="J391" i="3"/>
  <c r="K391" i="3" s="1"/>
  <c r="J390" i="3"/>
  <c r="K390" i="3" s="1"/>
  <c r="J389" i="3"/>
  <c r="K389" i="3" s="1"/>
  <c r="J388" i="3"/>
  <c r="K388" i="3" s="1"/>
  <c r="J387" i="3"/>
  <c r="K387" i="3" s="1"/>
  <c r="J386" i="3"/>
  <c r="K386" i="3" s="1"/>
  <c r="J385" i="3"/>
  <c r="K385" i="3" s="1"/>
  <c r="J384" i="3"/>
  <c r="K384" i="3" s="1"/>
  <c r="J383" i="3"/>
  <c r="K383" i="3" s="1"/>
  <c r="J382" i="3"/>
  <c r="K382" i="3" s="1"/>
  <c r="J381" i="3"/>
  <c r="K381" i="3" s="1"/>
  <c r="J380" i="3"/>
  <c r="K380" i="3" s="1"/>
  <c r="E380" i="3"/>
  <c r="E381" i="3" s="1"/>
  <c r="G381" i="3" s="1"/>
  <c r="J379" i="3"/>
  <c r="K379" i="3" s="1"/>
  <c r="J378" i="3"/>
  <c r="K378" i="3" s="1"/>
  <c r="J377" i="3"/>
  <c r="K377" i="3" s="1"/>
  <c r="J376" i="3"/>
  <c r="K376" i="3" s="1"/>
  <c r="J375" i="3"/>
  <c r="K375" i="3" s="1"/>
  <c r="J374" i="3"/>
  <c r="K374" i="3" s="1"/>
  <c r="J373" i="3"/>
  <c r="K373" i="3" s="1"/>
  <c r="J372" i="3"/>
  <c r="K372" i="3" s="1"/>
  <c r="J371" i="3"/>
  <c r="K371" i="3" s="1"/>
  <c r="J370" i="3"/>
  <c r="K370" i="3" s="1"/>
  <c r="J369" i="3"/>
  <c r="K369" i="3" s="1"/>
  <c r="J368" i="3"/>
  <c r="K368" i="3" s="1"/>
  <c r="J367" i="3"/>
  <c r="K367" i="3" s="1"/>
  <c r="J366" i="3"/>
  <c r="K366" i="3" s="1"/>
  <c r="E366" i="3"/>
  <c r="E367" i="3" s="1"/>
  <c r="G367" i="3" s="1"/>
  <c r="J365" i="3"/>
  <c r="K365" i="3" s="1"/>
  <c r="J364" i="3"/>
  <c r="K364" i="3" s="1"/>
  <c r="J363" i="3"/>
  <c r="K363" i="3" s="1"/>
  <c r="J362" i="3"/>
  <c r="K362" i="3" s="1"/>
  <c r="J361" i="3"/>
  <c r="K361" i="3" s="1"/>
  <c r="J360" i="3"/>
  <c r="K360" i="3" s="1"/>
  <c r="J359" i="3"/>
  <c r="K359" i="3" s="1"/>
  <c r="J358" i="3"/>
  <c r="K358" i="3" s="1"/>
  <c r="J357" i="3"/>
  <c r="K357" i="3" s="1"/>
  <c r="J356" i="3"/>
  <c r="K356" i="3" s="1"/>
  <c r="J355" i="3"/>
  <c r="K355" i="3" s="1"/>
  <c r="J354" i="3"/>
  <c r="K354" i="3" s="1"/>
  <c r="J353" i="3"/>
  <c r="K353" i="3" s="1"/>
  <c r="J352" i="3"/>
  <c r="K352" i="3" s="1"/>
  <c r="E352" i="3"/>
  <c r="E353" i="3" s="1"/>
  <c r="I353" i="3" s="1"/>
  <c r="J351" i="3"/>
  <c r="K351" i="3" s="1"/>
  <c r="J350" i="3"/>
  <c r="K350" i="3" s="1"/>
  <c r="J349" i="3"/>
  <c r="K349" i="3" s="1"/>
  <c r="J348" i="3"/>
  <c r="K348" i="3" s="1"/>
  <c r="J347" i="3"/>
  <c r="K347" i="3" s="1"/>
  <c r="J346" i="3"/>
  <c r="K346" i="3" s="1"/>
  <c r="J345" i="3"/>
  <c r="K345" i="3" s="1"/>
  <c r="J344" i="3"/>
  <c r="K344" i="3" s="1"/>
  <c r="J343" i="3"/>
  <c r="K343" i="3" s="1"/>
  <c r="J342" i="3"/>
  <c r="K342" i="3" s="1"/>
  <c r="J341" i="3"/>
  <c r="K341" i="3" s="1"/>
  <c r="J340" i="3"/>
  <c r="K340" i="3" s="1"/>
  <c r="J339" i="3"/>
  <c r="K339" i="3" s="1"/>
  <c r="J338" i="3"/>
  <c r="E338" i="3"/>
  <c r="E339" i="3" s="1"/>
  <c r="I339" i="3" s="1"/>
  <c r="J337" i="3"/>
  <c r="K337" i="3" s="1"/>
  <c r="J336" i="3"/>
  <c r="K336" i="3" s="1"/>
  <c r="J335" i="3"/>
  <c r="K335" i="3" s="1"/>
  <c r="J334" i="3"/>
  <c r="K334" i="3" s="1"/>
  <c r="J333" i="3"/>
  <c r="K333" i="3" s="1"/>
  <c r="J332" i="3"/>
  <c r="K332" i="3" s="1"/>
  <c r="J331" i="3"/>
  <c r="K331" i="3" s="1"/>
  <c r="J330" i="3"/>
  <c r="K330" i="3" s="1"/>
  <c r="J329" i="3"/>
  <c r="K329" i="3" s="1"/>
  <c r="J328" i="3"/>
  <c r="K328" i="3" s="1"/>
  <c r="J327" i="3"/>
  <c r="K327" i="3" s="1"/>
  <c r="J326" i="3"/>
  <c r="K326" i="3" s="1"/>
  <c r="J325" i="3"/>
  <c r="K325" i="3" s="1"/>
  <c r="J324" i="3"/>
  <c r="I324" i="3"/>
  <c r="J320" i="3"/>
  <c r="J319" i="3"/>
  <c r="K319" i="3" s="1"/>
  <c r="J318" i="3"/>
  <c r="K318" i="3" s="1"/>
  <c r="J317" i="3"/>
  <c r="K317" i="3" s="1"/>
  <c r="J316" i="3"/>
  <c r="K316" i="3" s="1"/>
  <c r="J315" i="3"/>
  <c r="K315" i="3" s="1"/>
  <c r="J314" i="3"/>
  <c r="K314" i="3" s="1"/>
  <c r="J313" i="3"/>
  <c r="K313" i="3" s="1"/>
  <c r="J312" i="3"/>
  <c r="K312" i="3" s="1"/>
  <c r="J311" i="3"/>
  <c r="K311" i="3" s="1"/>
  <c r="J310" i="3"/>
  <c r="K310" i="3" s="1"/>
  <c r="J309" i="3"/>
  <c r="K309" i="3" s="1"/>
  <c r="J308" i="3"/>
  <c r="J307" i="3"/>
  <c r="E307" i="3"/>
  <c r="E301" i="3" s="1"/>
  <c r="I301" i="3" s="1"/>
  <c r="J305" i="3"/>
  <c r="K305" i="3" s="1"/>
  <c r="J304" i="3"/>
  <c r="K304" i="3" s="1"/>
  <c r="J303" i="3"/>
  <c r="K303" i="3" s="1"/>
  <c r="J302" i="3"/>
  <c r="J301" i="3"/>
  <c r="K301" i="3" s="1"/>
  <c r="J300" i="3"/>
  <c r="K300" i="3" s="1"/>
  <c r="J299" i="3"/>
  <c r="K299" i="3" s="1"/>
  <c r="J298" i="3"/>
  <c r="K298" i="3" s="1"/>
  <c r="J297" i="3"/>
  <c r="J296" i="3"/>
  <c r="K296" i="3" s="1"/>
  <c r="J295" i="3"/>
  <c r="K295" i="3" s="1"/>
  <c r="J294" i="3"/>
  <c r="K294" i="3" s="1"/>
  <c r="J293" i="3"/>
  <c r="K293" i="3" s="1"/>
  <c r="J292" i="3"/>
  <c r="K292" i="3" s="1"/>
  <c r="E292" i="3"/>
  <c r="E293" i="3" s="1"/>
  <c r="G293" i="3" s="1"/>
  <c r="I293" i="3" s="1"/>
  <c r="J290" i="3"/>
  <c r="K290" i="3" s="1"/>
  <c r="J289" i="3"/>
  <c r="K289" i="3" s="1"/>
  <c r="J288" i="3"/>
  <c r="K288" i="3" s="1"/>
  <c r="J287" i="3"/>
  <c r="K287" i="3" s="1"/>
  <c r="J286" i="3"/>
  <c r="K286" i="3" s="1"/>
  <c r="J285" i="3"/>
  <c r="K285" i="3" s="1"/>
  <c r="J284" i="3"/>
  <c r="K284" i="3" s="1"/>
  <c r="J283" i="3"/>
  <c r="K283" i="3" s="1"/>
  <c r="J282" i="3"/>
  <c r="J281" i="3"/>
  <c r="K281" i="3" s="1"/>
  <c r="J280" i="3"/>
  <c r="J279" i="3"/>
  <c r="K279" i="3" s="1"/>
  <c r="J278" i="3"/>
  <c r="K278" i="3" s="1"/>
  <c r="J277" i="3"/>
  <c r="E277" i="3"/>
  <c r="E266" i="3" s="1"/>
  <c r="I266" i="3" s="1"/>
  <c r="J275" i="3"/>
  <c r="K275" i="3" s="1"/>
  <c r="J274" i="3"/>
  <c r="K274" i="3" s="1"/>
  <c r="J273" i="3"/>
  <c r="K273" i="3" s="1"/>
  <c r="J272" i="3"/>
  <c r="K272" i="3" s="1"/>
  <c r="J271" i="3"/>
  <c r="K271" i="3" s="1"/>
  <c r="J270" i="3"/>
  <c r="K270" i="3" s="1"/>
  <c r="J269" i="3"/>
  <c r="K269" i="3" s="1"/>
  <c r="J268" i="3"/>
  <c r="K268" i="3" s="1"/>
  <c r="J267" i="3"/>
  <c r="J266" i="3"/>
  <c r="K266" i="3" s="1"/>
  <c r="J265" i="3"/>
  <c r="K265" i="3" s="1"/>
  <c r="J264" i="3"/>
  <c r="K264" i="3" s="1"/>
  <c r="J263" i="3"/>
  <c r="J262" i="3"/>
  <c r="E262" i="3"/>
  <c r="J260" i="3"/>
  <c r="K260" i="3" s="1"/>
  <c r="J259" i="3"/>
  <c r="K259" i="3" s="1"/>
  <c r="J258" i="3"/>
  <c r="K258" i="3" s="1"/>
  <c r="J257" i="3"/>
  <c r="J256" i="3"/>
  <c r="K256" i="3" s="1"/>
  <c r="J255" i="3"/>
  <c r="K255" i="3" s="1"/>
  <c r="J254" i="3"/>
  <c r="J253" i="3"/>
  <c r="K253" i="3" s="1"/>
  <c r="J252" i="3"/>
  <c r="K252" i="3" s="1"/>
  <c r="J251" i="3"/>
  <c r="K251" i="3" s="1"/>
  <c r="J250" i="3"/>
  <c r="K250" i="3" s="1"/>
  <c r="J249" i="3"/>
  <c r="K249" i="3" s="1"/>
  <c r="J248" i="3"/>
  <c r="K248" i="3" s="1"/>
  <c r="J247" i="3"/>
  <c r="K247" i="3" s="1"/>
  <c r="E247" i="3"/>
  <c r="E232" i="3" s="1"/>
  <c r="I232" i="3" s="1"/>
  <c r="J245" i="3"/>
  <c r="K245" i="3" s="1"/>
  <c r="J244" i="3"/>
  <c r="K244" i="3" s="1"/>
  <c r="J243" i="3"/>
  <c r="K243" i="3" s="1"/>
  <c r="J242" i="3"/>
  <c r="K242" i="3" s="1"/>
  <c r="J241" i="3"/>
  <c r="K241" i="3" s="1"/>
  <c r="J240" i="3"/>
  <c r="K240" i="3" s="1"/>
  <c r="J239" i="3"/>
  <c r="K239" i="3" s="1"/>
  <c r="J238" i="3"/>
  <c r="K238" i="3" s="1"/>
  <c r="J237" i="3"/>
  <c r="J236" i="3"/>
  <c r="K236" i="3" s="1"/>
  <c r="J235" i="3"/>
  <c r="J234" i="3"/>
  <c r="K234" i="3" s="1"/>
  <c r="J231" i="3"/>
  <c r="K231" i="3" s="1"/>
  <c r="J230" i="3"/>
  <c r="K230" i="3" s="1"/>
  <c r="E230" i="3"/>
  <c r="E229" i="3" s="1"/>
  <c r="I229" i="3" s="1"/>
  <c r="J226" i="3"/>
  <c r="K226" i="3" s="1"/>
  <c r="J225" i="3"/>
  <c r="K225" i="3" s="1"/>
  <c r="J224" i="3"/>
  <c r="K224" i="3" s="1"/>
  <c r="J223" i="3"/>
  <c r="K223" i="3" s="1"/>
  <c r="J222" i="3"/>
  <c r="K222" i="3" s="1"/>
  <c r="J221" i="3"/>
  <c r="K221" i="3" s="1"/>
  <c r="J220" i="3"/>
  <c r="K220" i="3" s="1"/>
  <c r="J219" i="3"/>
  <c r="K219" i="3" s="1"/>
  <c r="J218" i="3"/>
  <c r="K218" i="3" s="1"/>
  <c r="J217" i="3"/>
  <c r="K217" i="3" s="1"/>
  <c r="J216" i="3"/>
  <c r="K216" i="3" s="1"/>
  <c r="J215" i="3"/>
  <c r="K215" i="3" s="1"/>
  <c r="J214" i="3"/>
  <c r="K214" i="3" s="1"/>
  <c r="J213" i="3"/>
  <c r="K213" i="3" s="1"/>
  <c r="E213" i="3"/>
  <c r="E202" i="3" s="1"/>
  <c r="I202" i="3" s="1"/>
  <c r="J211" i="3"/>
  <c r="K211" i="3" s="1"/>
  <c r="J210" i="3"/>
  <c r="K210" i="3" s="1"/>
  <c r="J209" i="3"/>
  <c r="K209" i="3" s="1"/>
  <c r="J208" i="3"/>
  <c r="K208" i="3" s="1"/>
  <c r="J207" i="3"/>
  <c r="K207" i="3" s="1"/>
  <c r="J206" i="3"/>
  <c r="K206" i="3" s="1"/>
  <c r="J205" i="3"/>
  <c r="K205" i="3" s="1"/>
  <c r="J204" i="3"/>
  <c r="K204" i="3" s="1"/>
  <c r="J203" i="3"/>
  <c r="K203" i="3" s="1"/>
  <c r="J202" i="3"/>
  <c r="K202" i="3" s="1"/>
  <c r="J201" i="3"/>
  <c r="K201" i="3" s="1"/>
  <c r="J200" i="3"/>
  <c r="K200" i="3" s="1"/>
  <c r="J199" i="3"/>
  <c r="K199" i="3" s="1"/>
  <c r="J198" i="3"/>
  <c r="E198" i="3"/>
  <c r="E195" i="3" s="1"/>
  <c r="I195" i="3" s="1"/>
  <c r="J194" i="3"/>
  <c r="J193" i="3"/>
  <c r="K193" i="3" s="1"/>
  <c r="J192" i="3"/>
  <c r="K192" i="3" s="1"/>
  <c r="J191" i="3"/>
  <c r="J190" i="3"/>
  <c r="K190" i="3" s="1"/>
  <c r="J189" i="3"/>
  <c r="K189" i="3" s="1"/>
  <c r="J188" i="3"/>
  <c r="K188" i="3" s="1"/>
  <c r="J187" i="3"/>
  <c r="K187" i="3" s="1"/>
  <c r="J186" i="3"/>
  <c r="K186" i="3" s="1"/>
  <c r="J185" i="3"/>
  <c r="J184" i="3"/>
  <c r="K184" i="3" s="1"/>
  <c r="J183" i="3"/>
  <c r="K183" i="3" s="1"/>
  <c r="J182" i="3"/>
  <c r="K182" i="3" s="1"/>
  <c r="J181" i="3"/>
  <c r="E181" i="3"/>
  <c r="E169" i="3" s="1"/>
  <c r="I169" i="3" s="1"/>
  <c r="J179" i="3"/>
  <c r="K179" i="3" s="1"/>
  <c r="J178" i="3"/>
  <c r="K178" i="3" s="1"/>
  <c r="J177" i="3"/>
  <c r="K177" i="3" s="1"/>
  <c r="J176" i="3"/>
  <c r="K176" i="3" s="1"/>
  <c r="J175" i="3"/>
  <c r="K175" i="3" s="1"/>
  <c r="J174" i="3"/>
  <c r="K174" i="3" s="1"/>
  <c r="J173" i="3"/>
  <c r="J172" i="3"/>
  <c r="K172" i="3" s="1"/>
  <c r="J171" i="3"/>
  <c r="K171" i="3" s="1"/>
  <c r="J170" i="3"/>
  <c r="K170" i="3" s="1"/>
  <c r="J169" i="3"/>
  <c r="K169" i="3" s="1"/>
  <c r="J168" i="3"/>
  <c r="K168" i="3" s="1"/>
  <c r="J167" i="3"/>
  <c r="K167" i="3" s="1"/>
  <c r="J166" i="3"/>
  <c r="E166" i="3"/>
  <c r="E159" i="3" s="1"/>
  <c r="I159" i="3" s="1"/>
  <c r="J164" i="3"/>
  <c r="K164" i="3" s="1"/>
  <c r="J163" i="3"/>
  <c r="K163" i="3" s="1"/>
  <c r="J162" i="3"/>
  <c r="K162" i="3" s="1"/>
  <c r="J161" i="3"/>
  <c r="K161" i="3" s="1"/>
  <c r="J160" i="3"/>
  <c r="K160" i="3" s="1"/>
  <c r="J159" i="3"/>
  <c r="K159" i="3" s="1"/>
  <c r="J158" i="3"/>
  <c r="K158" i="3" s="1"/>
  <c r="J157" i="3"/>
  <c r="K157" i="3" s="1"/>
  <c r="J156" i="3"/>
  <c r="J155" i="3"/>
  <c r="K155" i="3" s="1"/>
  <c r="J154" i="3"/>
  <c r="K154" i="3" s="1"/>
  <c r="J153" i="3"/>
  <c r="K153" i="3" s="1"/>
  <c r="J152" i="3"/>
  <c r="J151" i="3"/>
  <c r="E151" i="3"/>
  <c r="E152" i="3" s="1"/>
  <c r="F152" i="3" s="1"/>
  <c r="Q104" i="4" s="1"/>
  <c r="M104" i="4" s="1"/>
  <c r="J147" i="3"/>
  <c r="J146" i="3"/>
  <c r="K146" i="3" s="1"/>
  <c r="J145" i="3"/>
  <c r="K145" i="3" s="1"/>
  <c r="J144" i="3"/>
  <c r="J143" i="3"/>
  <c r="K143" i="3" s="1"/>
  <c r="J142" i="3"/>
  <c r="K142" i="3" s="1"/>
  <c r="J141" i="3"/>
  <c r="K141" i="3" s="1"/>
  <c r="J140" i="3"/>
  <c r="K140" i="3" s="1"/>
  <c r="J139" i="3"/>
  <c r="J138" i="3"/>
  <c r="K138" i="3" s="1"/>
  <c r="J137" i="3"/>
  <c r="K137" i="3" s="1"/>
  <c r="J136" i="3"/>
  <c r="K136" i="3" s="1"/>
  <c r="J135" i="3"/>
  <c r="J134" i="3"/>
  <c r="E134" i="3"/>
  <c r="E131" i="3" s="1"/>
  <c r="I131" i="3" s="1"/>
  <c r="J130" i="3"/>
  <c r="K130" i="3" s="1"/>
  <c r="J129" i="3"/>
  <c r="K129" i="3" s="1"/>
  <c r="J128" i="3"/>
  <c r="K128" i="3" s="1"/>
  <c r="J127" i="3"/>
  <c r="K127" i="3" s="1"/>
  <c r="J126" i="3"/>
  <c r="K126" i="3" s="1"/>
  <c r="J125" i="3"/>
  <c r="K125" i="3" s="1"/>
  <c r="J124" i="3"/>
  <c r="K124" i="3" s="1"/>
  <c r="J123" i="3"/>
  <c r="K123" i="3" s="1"/>
  <c r="J122" i="3"/>
  <c r="K122" i="3" s="1"/>
  <c r="J121" i="3"/>
  <c r="K121" i="3" s="1"/>
  <c r="J120" i="3"/>
  <c r="K120" i="3" s="1"/>
  <c r="J119" i="3"/>
  <c r="K119" i="3" s="1"/>
  <c r="J118" i="3"/>
  <c r="K118" i="3" s="1"/>
  <c r="J117" i="3"/>
  <c r="E117" i="3"/>
  <c r="J113" i="3"/>
  <c r="K113" i="3" s="1"/>
  <c r="J112" i="3"/>
  <c r="K112" i="3" s="1"/>
  <c r="J111" i="3"/>
  <c r="K111" i="3" s="1"/>
  <c r="J110" i="3"/>
  <c r="J109" i="3"/>
  <c r="K109" i="3" s="1"/>
  <c r="J108" i="3"/>
  <c r="K108" i="3" s="1"/>
  <c r="J107" i="3"/>
  <c r="J106" i="3"/>
  <c r="K106" i="3" s="1"/>
  <c r="J105" i="3"/>
  <c r="K105" i="3" s="1"/>
  <c r="J104" i="3"/>
  <c r="K104" i="3" s="1"/>
  <c r="J103" i="3"/>
  <c r="K103" i="3" s="1"/>
  <c r="J102" i="3"/>
  <c r="K102" i="3" s="1"/>
  <c r="J101" i="3"/>
  <c r="J100" i="3"/>
  <c r="E100" i="3"/>
  <c r="J96" i="3"/>
  <c r="K96" i="3" s="1"/>
  <c r="J95" i="3"/>
  <c r="K95" i="3" s="1"/>
  <c r="J94" i="3"/>
  <c r="K94" i="3" s="1"/>
  <c r="J93" i="3"/>
  <c r="J92" i="3"/>
  <c r="K92" i="3" s="1"/>
  <c r="J91" i="3"/>
  <c r="K91" i="3" s="1"/>
  <c r="J90" i="3"/>
  <c r="K90" i="3" s="1"/>
  <c r="J89" i="3"/>
  <c r="K89" i="3" s="1"/>
  <c r="J88" i="3"/>
  <c r="J87" i="3"/>
  <c r="K87" i="3" s="1"/>
  <c r="J86" i="3"/>
  <c r="K86" i="3" s="1"/>
  <c r="J85" i="3"/>
  <c r="K85" i="3" s="1"/>
  <c r="J84" i="3"/>
  <c r="K84" i="3" s="1"/>
  <c r="J83" i="3"/>
  <c r="E83" i="3"/>
  <c r="P103" i="4" s="1"/>
  <c r="L103" i="4" s="1"/>
  <c r="AA103" i="4" s="1"/>
  <c r="J79" i="3"/>
  <c r="K79" i="3" s="1"/>
  <c r="J78" i="3"/>
  <c r="K78" i="3" s="1"/>
  <c r="J77" i="3"/>
  <c r="K77" i="3" s="1"/>
  <c r="J76" i="3"/>
  <c r="K76" i="3" s="1"/>
  <c r="J75" i="3"/>
  <c r="K75" i="3" s="1"/>
  <c r="J74" i="3"/>
  <c r="K74" i="3" s="1"/>
  <c r="J73" i="3"/>
  <c r="K73" i="3" s="1"/>
  <c r="J72" i="3"/>
  <c r="K72" i="3" s="1"/>
  <c r="J71" i="3"/>
  <c r="J70" i="3"/>
  <c r="K70" i="3" s="1"/>
  <c r="J69" i="3"/>
  <c r="K69" i="3" s="1"/>
  <c r="J68" i="3"/>
  <c r="K68" i="3" s="1"/>
  <c r="J67" i="3"/>
  <c r="J66" i="3"/>
  <c r="E66" i="3"/>
  <c r="J62" i="3"/>
  <c r="J61" i="3"/>
  <c r="K61" i="3" s="1"/>
  <c r="J60" i="3"/>
  <c r="K60" i="3" s="1"/>
  <c r="J59" i="3"/>
  <c r="J58" i="3"/>
  <c r="K58" i="3" s="1"/>
  <c r="J57" i="3"/>
  <c r="K57" i="3" s="1"/>
  <c r="J56" i="3"/>
  <c r="J55" i="3"/>
  <c r="K55" i="3" s="1"/>
  <c r="J54" i="3"/>
  <c r="J53" i="3"/>
  <c r="K53" i="3" s="1"/>
  <c r="J52" i="3"/>
  <c r="K52" i="3" s="1"/>
  <c r="J51" i="3"/>
  <c r="K51" i="3" s="1"/>
  <c r="J50" i="3"/>
  <c r="K50" i="3" s="1"/>
  <c r="J48" i="3"/>
  <c r="J45" i="3"/>
  <c r="J43" i="3"/>
  <c r="E44" i="3"/>
  <c r="G44" i="3" s="1"/>
  <c r="J39" i="3"/>
  <c r="J38" i="3"/>
  <c r="K38" i="3" s="1"/>
  <c r="J37" i="3"/>
  <c r="K37" i="3" s="1"/>
  <c r="J36" i="3"/>
  <c r="J35" i="3"/>
  <c r="K35" i="3" s="1"/>
  <c r="J34" i="3"/>
  <c r="K34" i="3" s="1"/>
  <c r="J33" i="3"/>
  <c r="K33" i="3" s="1"/>
  <c r="J32" i="3"/>
  <c r="K32" i="3" s="1"/>
  <c r="J31" i="3"/>
  <c r="J30" i="3"/>
  <c r="J29" i="3"/>
  <c r="K29" i="3" s="1"/>
  <c r="J28" i="3"/>
  <c r="K28" i="3" s="1"/>
  <c r="J27" i="3"/>
  <c r="J26" i="3"/>
  <c r="E26" i="3"/>
  <c r="J22" i="3"/>
  <c r="K22" i="3" s="1"/>
  <c r="J24" i="3"/>
  <c r="J20" i="3"/>
  <c r="K20" i="3" s="1"/>
  <c r="J19" i="3"/>
  <c r="J18" i="3"/>
  <c r="K18" i="3" s="1"/>
  <c r="J16" i="3"/>
  <c r="K16" i="3" s="1"/>
  <c r="J15" i="3"/>
  <c r="J14" i="3"/>
  <c r="K14" i="3" s="1"/>
  <c r="J13" i="3"/>
  <c r="J12" i="3"/>
  <c r="J11" i="3"/>
  <c r="K11" i="3" s="1"/>
  <c r="J10" i="3"/>
  <c r="K10" i="3" s="1"/>
  <c r="B6" i="3"/>
  <c r="A6" i="3"/>
  <c r="B5" i="3"/>
  <c r="A5" i="3"/>
  <c r="B4" i="3"/>
  <c r="A4" i="3"/>
  <c r="A3" i="3"/>
  <c r="B2" i="3"/>
  <c r="A2" i="3"/>
  <c r="B6" i="2"/>
  <c r="B5" i="2"/>
  <c r="B4" i="2"/>
  <c r="B2" i="2"/>
  <c r="C64" i="2"/>
  <c r="C62" i="2"/>
  <c r="D64" i="2"/>
  <c r="D62" i="2"/>
  <c r="C63" i="2"/>
  <c r="D65" i="2"/>
  <c r="C65" i="2"/>
  <c r="E212" i="3"/>
  <c r="I212" i="3" s="1"/>
  <c r="I43" i="3"/>
  <c r="E45" i="3"/>
  <c r="G45" i="3" s="1"/>
  <c r="I45" i="3" s="1"/>
  <c r="E442" i="3"/>
  <c r="I442" i="3" s="1"/>
  <c r="E438" i="3"/>
  <c r="I438" i="3" s="1"/>
  <c r="E444" i="3"/>
  <c r="I444" i="3" s="1"/>
  <c r="E446" i="3"/>
  <c r="I446" i="3" s="1"/>
  <c r="G339" i="3"/>
  <c r="E439" i="3"/>
  <c r="I439" i="3" s="1"/>
  <c r="E441" i="3"/>
  <c r="I441" i="3" s="1"/>
  <c r="E443" i="3"/>
  <c r="I443" i="3" s="1"/>
  <c r="E351" i="3"/>
  <c r="I351" i="3" s="1"/>
  <c r="E457" i="3"/>
  <c r="I457" i="3" s="1"/>
  <c r="D46" i="8"/>
  <c r="D103" i="8"/>
  <c r="D105" i="8"/>
  <c r="D108" i="8" s="1"/>
  <c r="D110" i="8" s="1"/>
  <c r="D85" i="8"/>
  <c r="D88" i="8"/>
  <c r="D90" i="8" s="1"/>
  <c r="D43" i="8"/>
  <c r="D65" i="8"/>
  <c r="E445" i="3" l="1"/>
  <c r="I445" i="3" s="1"/>
  <c r="E448" i="3"/>
  <c r="I448" i="3" s="1"/>
  <c r="E331" i="3"/>
  <c r="I331" i="3" s="1"/>
  <c r="P44" i="4"/>
  <c r="L44" i="4" s="1"/>
  <c r="AA44" i="4" s="1"/>
  <c r="P104" i="4"/>
  <c r="L104" i="4" s="1"/>
  <c r="AA104" i="4" s="1"/>
  <c r="P430" i="4"/>
  <c r="L430" i="4" s="1"/>
  <c r="AA430" i="4" s="1"/>
  <c r="P431" i="4"/>
  <c r="L431" i="4" s="1"/>
  <c r="AA431" i="4" s="1"/>
  <c r="P432" i="4"/>
  <c r="L432" i="4" s="1"/>
  <c r="AA432" i="4" s="1"/>
  <c r="E258" i="3"/>
  <c r="I258" i="3" s="1"/>
  <c r="P113" i="4"/>
  <c r="L113" i="4" s="1"/>
  <c r="AA113" i="4" s="1"/>
  <c r="P112" i="4"/>
  <c r="L112" i="4" s="1"/>
  <c r="AA112" i="4" s="1"/>
  <c r="P111" i="4"/>
  <c r="L111" i="4" s="1"/>
  <c r="AA111" i="4" s="1"/>
  <c r="P110" i="4"/>
  <c r="L110" i="4" s="1"/>
  <c r="AA110" i="4" s="1"/>
  <c r="P75" i="4"/>
  <c r="L75" i="4" s="1"/>
  <c r="AA75" i="4" s="1"/>
  <c r="E449" i="3"/>
  <c r="I449" i="3" s="1"/>
  <c r="G451" i="3"/>
  <c r="E440" i="3"/>
  <c r="I440" i="3" s="1"/>
  <c r="P205" i="4"/>
  <c r="L205" i="4" s="1"/>
  <c r="AA205" i="4" s="1"/>
  <c r="P126" i="4"/>
  <c r="L126" i="4" s="1"/>
  <c r="AA126" i="4" s="1"/>
  <c r="E447" i="3"/>
  <c r="I447" i="3" s="1"/>
  <c r="I100" i="3"/>
  <c r="P169" i="4"/>
  <c r="L169" i="4" s="1"/>
  <c r="AA169" i="4" s="1"/>
  <c r="P142" i="4"/>
  <c r="L142" i="4" s="1"/>
  <c r="AA142" i="4" s="1"/>
  <c r="P429" i="4"/>
  <c r="L429" i="4" s="1"/>
  <c r="AA429" i="4" s="1"/>
  <c r="P433" i="4"/>
  <c r="L433" i="4" s="1"/>
  <c r="AA433" i="4" s="1"/>
  <c r="P40" i="4"/>
  <c r="L40" i="4" s="1"/>
  <c r="AA40" i="4" s="1"/>
  <c r="P219" i="4"/>
  <c r="L219" i="4" s="1"/>
  <c r="AA219" i="4" s="1"/>
  <c r="P170" i="4"/>
  <c r="L170" i="4" s="1"/>
  <c r="AA170" i="4" s="1"/>
  <c r="P151" i="4"/>
  <c r="L151" i="4" s="1"/>
  <c r="AA151" i="4" s="1"/>
  <c r="P155" i="4"/>
  <c r="L155" i="4" s="1"/>
  <c r="AA155" i="4" s="1"/>
  <c r="G16" i="14"/>
  <c r="J16" i="14" s="1"/>
  <c r="G23" i="14"/>
  <c r="J23" i="14" s="1"/>
  <c r="F12" i="14"/>
  <c r="F14" i="14"/>
  <c r="F16" i="14"/>
  <c r="F23" i="14"/>
  <c r="G12" i="14"/>
  <c r="J12" i="14" s="1"/>
  <c r="G14" i="14"/>
  <c r="J14" i="14" s="1"/>
  <c r="F20" i="14"/>
  <c r="G18" i="14"/>
  <c r="J18" i="14" s="1"/>
  <c r="G13" i="14"/>
  <c r="J13" i="14" s="1"/>
  <c r="G21" i="14"/>
  <c r="J21" i="14" s="1"/>
  <c r="F9" i="14"/>
  <c r="G17" i="14"/>
  <c r="J17" i="14" s="1"/>
  <c r="G10" i="14"/>
  <c r="J10" i="14" s="1"/>
  <c r="F6" i="14"/>
  <c r="G6" i="14"/>
  <c r="J6" i="14" s="1"/>
  <c r="G15" i="14"/>
  <c r="J15" i="14" s="1"/>
  <c r="G11" i="14"/>
  <c r="J11" i="14" s="1"/>
  <c r="F15" i="14"/>
  <c r="G8" i="14"/>
  <c r="J8" i="14" s="1"/>
  <c r="F21" i="14"/>
  <c r="G20" i="14"/>
  <c r="J20" i="14" s="1"/>
  <c r="G7" i="14"/>
  <c r="J7" i="14" s="1"/>
  <c r="F19" i="14"/>
  <c r="G22" i="14"/>
  <c r="J22" i="14" s="1"/>
  <c r="F18" i="14"/>
  <c r="G9" i="14"/>
  <c r="J9" i="14" s="1"/>
  <c r="F22" i="14"/>
  <c r="F13" i="14"/>
  <c r="F17" i="14"/>
  <c r="F10" i="14"/>
  <c r="F11" i="14"/>
  <c r="G19" i="14"/>
  <c r="J19" i="14" s="1"/>
  <c r="F7" i="14"/>
  <c r="F8" i="14"/>
  <c r="E203" i="3"/>
  <c r="I203" i="3" s="1"/>
  <c r="E204" i="3"/>
  <c r="I204" i="3" s="1"/>
  <c r="Z553" i="4"/>
  <c r="AA36" i="9"/>
  <c r="AC36" i="9" s="1"/>
  <c r="AA26" i="9"/>
  <c r="AC26" i="9" s="1"/>
  <c r="AA24" i="9"/>
  <c r="AC24" i="9" s="1"/>
  <c r="AA22" i="9"/>
  <c r="AC22" i="9" s="1"/>
  <c r="AA38" i="9"/>
  <c r="AC38" i="9" s="1"/>
  <c r="E477" i="3"/>
  <c r="I477" i="3" s="1"/>
  <c r="E471" i="3"/>
  <c r="I471" i="3" s="1"/>
  <c r="E220" i="3"/>
  <c r="I220" i="3" s="1"/>
  <c r="E344" i="3"/>
  <c r="I344" i="3" s="1"/>
  <c r="G353" i="3"/>
  <c r="E30" i="3"/>
  <c r="I30" i="3" s="1"/>
  <c r="P383" i="4"/>
  <c r="L383" i="4" s="1"/>
  <c r="AA383" i="4" s="1"/>
  <c r="P387" i="4"/>
  <c r="L387" i="4" s="1"/>
  <c r="AA387" i="4" s="1"/>
  <c r="P391" i="4"/>
  <c r="L391" i="4" s="1"/>
  <c r="AA391" i="4" s="1"/>
  <c r="P395" i="4"/>
  <c r="L395" i="4" s="1"/>
  <c r="AA395" i="4" s="1"/>
  <c r="P419" i="4"/>
  <c r="L419" i="4" s="1"/>
  <c r="AA419" i="4" s="1"/>
  <c r="P423" i="4"/>
  <c r="L423" i="4" s="1"/>
  <c r="AA423" i="4" s="1"/>
  <c r="P427" i="4"/>
  <c r="L427" i="4" s="1"/>
  <c r="AA427" i="4" s="1"/>
  <c r="P440" i="4"/>
  <c r="L440" i="4" s="1"/>
  <c r="AA440" i="4" s="1"/>
  <c r="P474" i="4"/>
  <c r="L474" i="4" s="1"/>
  <c r="AA474" i="4" s="1"/>
  <c r="P490" i="4"/>
  <c r="L490" i="4" s="1"/>
  <c r="AA490" i="4" s="1"/>
  <c r="P390" i="4"/>
  <c r="L390" i="4" s="1"/>
  <c r="AA390" i="4" s="1"/>
  <c r="P394" i="4"/>
  <c r="L394" i="4" s="1"/>
  <c r="AA394" i="4" s="1"/>
  <c r="P398" i="4"/>
  <c r="L398" i="4" s="1"/>
  <c r="AA398" i="4" s="1"/>
  <c r="P410" i="4"/>
  <c r="L410" i="4" s="1"/>
  <c r="AA410" i="4" s="1"/>
  <c r="P418" i="4"/>
  <c r="L418" i="4" s="1"/>
  <c r="AA418" i="4" s="1"/>
  <c r="P439" i="4"/>
  <c r="L439" i="4" s="1"/>
  <c r="AA439" i="4" s="1"/>
  <c r="P473" i="4"/>
  <c r="L473" i="4" s="1"/>
  <c r="AA473" i="4" s="1"/>
  <c r="P385" i="4"/>
  <c r="L385" i="4" s="1"/>
  <c r="AA385" i="4" s="1"/>
  <c r="P413" i="4"/>
  <c r="L413" i="4" s="1"/>
  <c r="AA413" i="4" s="1"/>
  <c r="P492" i="4"/>
  <c r="L492" i="4" s="1"/>
  <c r="AA492" i="4" s="1"/>
  <c r="P384" i="4"/>
  <c r="L384" i="4" s="1"/>
  <c r="AA384" i="4" s="1"/>
  <c r="P412" i="4"/>
  <c r="L412" i="4" s="1"/>
  <c r="AA412" i="4" s="1"/>
  <c r="P420" i="4"/>
  <c r="L420" i="4" s="1"/>
  <c r="AA420" i="4" s="1"/>
  <c r="P475" i="4"/>
  <c r="L475" i="4" s="1"/>
  <c r="AA475" i="4" s="1"/>
  <c r="E150" i="3"/>
  <c r="I150" i="3" s="1"/>
  <c r="P414" i="4"/>
  <c r="L414" i="4" s="1"/>
  <c r="AA414" i="4" s="1"/>
  <c r="P421" i="4"/>
  <c r="L421" i="4" s="1"/>
  <c r="AA421" i="4" s="1"/>
  <c r="P425" i="4"/>
  <c r="L425" i="4" s="1"/>
  <c r="AA425" i="4" s="1"/>
  <c r="P434" i="4"/>
  <c r="L434" i="4" s="1"/>
  <c r="P472" i="4"/>
  <c r="L472" i="4" s="1"/>
  <c r="AA472" i="4" s="1"/>
  <c r="P496" i="4"/>
  <c r="L496" i="4" s="1"/>
  <c r="AA496" i="4" s="1"/>
  <c r="P392" i="4"/>
  <c r="L392" i="4" s="1"/>
  <c r="P479" i="4"/>
  <c r="L479" i="4" s="1"/>
  <c r="P495" i="4"/>
  <c r="L495" i="4" s="1"/>
  <c r="AA495" i="4" s="1"/>
  <c r="P275" i="4"/>
  <c r="L275" i="4" s="1"/>
  <c r="AA275" i="4" s="1"/>
  <c r="P403" i="4"/>
  <c r="L403" i="4" s="1"/>
  <c r="AA403" i="4" s="1"/>
  <c r="P444" i="4"/>
  <c r="L444" i="4" s="1"/>
  <c r="AA444" i="4" s="1"/>
  <c r="P452" i="4"/>
  <c r="L452" i="4" s="1"/>
  <c r="AA452" i="4" s="1"/>
  <c r="P422" i="4"/>
  <c r="L422" i="4" s="1"/>
  <c r="AA422" i="4" s="1"/>
  <c r="P397" i="4"/>
  <c r="L397" i="4" s="1"/>
  <c r="AA397" i="4" s="1"/>
  <c r="P450" i="4"/>
  <c r="L450" i="4" s="1"/>
  <c r="AA450" i="4" s="1"/>
  <c r="P400" i="4"/>
  <c r="L400" i="4" s="1"/>
  <c r="AA400" i="4" s="1"/>
  <c r="P408" i="4"/>
  <c r="L408" i="4" s="1"/>
  <c r="AA408" i="4" s="1"/>
  <c r="P424" i="4"/>
  <c r="L424" i="4" s="1"/>
  <c r="AA424" i="4" s="1"/>
  <c r="P449" i="4"/>
  <c r="L449" i="4" s="1"/>
  <c r="AA449" i="4" s="1"/>
  <c r="E254" i="3"/>
  <c r="P328" i="4" s="1"/>
  <c r="L328" i="4" s="1"/>
  <c r="AA328" i="4" s="1"/>
  <c r="E15" i="3"/>
  <c r="P117" i="4" s="1"/>
  <c r="L117" i="4" s="1"/>
  <c r="AA117" i="4" s="1"/>
  <c r="P436" i="4"/>
  <c r="L436" i="4" s="1"/>
  <c r="AA436" i="4" s="1"/>
  <c r="P396" i="4"/>
  <c r="L396" i="4" s="1"/>
  <c r="AA396" i="4" s="1"/>
  <c r="P274" i="4"/>
  <c r="L274" i="4" s="1"/>
  <c r="P399" i="4"/>
  <c r="L399" i="4" s="1"/>
  <c r="AA399" i="4" s="1"/>
  <c r="P411" i="4"/>
  <c r="L411" i="4" s="1"/>
  <c r="AA411" i="4" s="1"/>
  <c r="P498" i="4"/>
  <c r="L498" i="4" s="1"/>
  <c r="AA498" i="4" s="1"/>
  <c r="P382" i="4"/>
  <c r="L382" i="4" s="1"/>
  <c r="AA382" i="4" s="1"/>
  <c r="P386" i="4"/>
  <c r="L386" i="4" s="1"/>
  <c r="AA386" i="4" s="1"/>
  <c r="P402" i="4"/>
  <c r="L402" i="4" s="1"/>
  <c r="AA402" i="4" s="1"/>
  <c r="P426" i="4"/>
  <c r="L426" i="4" s="1"/>
  <c r="AA426" i="4" s="1"/>
  <c r="P447" i="4"/>
  <c r="L447" i="4" s="1"/>
  <c r="AA447" i="4" s="1"/>
  <c r="P451" i="4"/>
  <c r="L451" i="4" s="1"/>
  <c r="AA451" i="4" s="1"/>
  <c r="P489" i="4"/>
  <c r="L489" i="4" s="1"/>
  <c r="AA489" i="4" s="1"/>
  <c r="P389" i="4"/>
  <c r="L389" i="4" s="1"/>
  <c r="AA389" i="4" s="1"/>
  <c r="P393" i="4"/>
  <c r="L393" i="4" s="1"/>
  <c r="AA393" i="4" s="1"/>
  <c r="P405" i="4"/>
  <c r="L405" i="4" s="1"/>
  <c r="AA405" i="4" s="1"/>
  <c r="P409" i="4"/>
  <c r="L409" i="4" s="1"/>
  <c r="AA409" i="4" s="1"/>
  <c r="P438" i="4"/>
  <c r="L438" i="4" s="1"/>
  <c r="AA438" i="4" s="1"/>
  <c r="P468" i="4"/>
  <c r="L468" i="4" s="1"/>
  <c r="P480" i="4"/>
  <c r="L480" i="4" s="1"/>
  <c r="AA480" i="4" s="1"/>
  <c r="P500" i="4"/>
  <c r="L500" i="4" s="1"/>
  <c r="AA500" i="4" s="1"/>
  <c r="P388" i="4"/>
  <c r="L388" i="4" s="1"/>
  <c r="AA388" i="4" s="1"/>
  <c r="P428" i="4"/>
  <c r="L428" i="4" s="1"/>
  <c r="AA428" i="4" s="1"/>
  <c r="P437" i="4"/>
  <c r="L437" i="4" s="1"/>
  <c r="AA437" i="4" s="1"/>
  <c r="P441" i="4"/>
  <c r="L441" i="4" s="1"/>
  <c r="AA441" i="4" s="1"/>
  <c r="P445" i="4"/>
  <c r="L445" i="4" s="1"/>
  <c r="AA445" i="4" s="1"/>
  <c r="P453" i="4"/>
  <c r="L453" i="4" s="1"/>
  <c r="AA453" i="4" s="1"/>
  <c r="P483" i="4"/>
  <c r="L483" i="4" s="1"/>
  <c r="AA483" i="4" s="1"/>
  <c r="E115" i="3"/>
  <c r="P493" i="4"/>
  <c r="L493" i="4" s="1"/>
  <c r="AA493" i="4" s="1"/>
  <c r="E305" i="3"/>
  <c r="I305" i="3" s="1"/>
  <c r="P407" i="4"/>
  <c r="L407" i="4" s="1"/>
  <c r="AA407" i="4" s="1"/>
  <c r="P415" i="4"/>
  <c r="L415" i="4" s="1"/>
  <c r="AA415" i="4" s="1"/>
  <c r="P448" i="4"/>
  <c r="L448" i="4" s="1"/>
  <c r="AA448" i="4" s="1"/>
  <c r="P406" i="4"/>
  <c r="L406" i="4" s="1"/>
  <c r="AA406" i="4" s="1"/>
  <c r="P435" i="4"/>
  <c r="L435" i="4" s="1"/>
  <c r="AA435" i="4" s="1"/>
  <c r="P381" i="4"/>
  <c r="L381" i="4" s="1"/>
  <c r="AA381" i="4" s="1"/>
  <c r="P446" i="4"/>
  <c r="L446" i="4" s="1"/>
  <c r="AA446" i="4" s="1"/>
  <c r="P404" i="4"/>
  <c r="L404" i="4" s="1"/>
  <c r="AA404" i="4" s="1"/>
  <c r="Y38" i="9"/>
  <c r="Y36" i="9"/>
  <c r="N27" i="9"/>
  <c r="J26" i="9"/>
  <c r="E24" i="9"/>
  <c r="Y26" i="9"/>
  <c r="O26" i="9"/>
  <c r="E26" i="9"/>
  <c r="Y24" i="9"/>
  <c r="J24" i="9"/>
  <c r="J22" i="9"/>
  <c r="O24" i="9"/>
  <c r="E22" i="9"/>
  <c r="Y22" i="9"/>
  <c r="O22" i="9"/>
  <c r="E423" i="3"/>
  <c r="I423" i="3" s="1"/>
  <c r="E412" i="3"/>
  <c r="I412" i="3" s="1"/>
  <c r="E369" i="3"/>
  <c r="I369" i="3" s="1"/>
  <c r="E419" i="3"/>
  <c r="I419" i="3" s="1"/>
  <c r="E294" i="3"/>
  <c r="I294" i="3" s="1"/>
  <c r="E421" i="3"/>
  <c r="I421" i="3" s="1"/>
  <c r="E261" i="3"/>
  <c r="I261" i="3" s="1"/>
  <c r="E420" i="3"/>
  <c r="I420" i="3" s="1"/>
  <c r="E416" i="3"/>
  <c r="I416" i="3" s="1"/>
  <c r="E300" i="3"/>
  <c r="I300" i="3" s="1"/>
  <c r="E379" i="3"/>
  <c r="I379" i="3" s="1"/>
  <c r="E299" i="3"/>
  <c r="I299" i="3" s="1"/>
  <c r="E417" i="3"/>
  <c r="I417" i="3" s="1"/>
  <c r="E129" i="3"/>
  <c r="I129" i="3" s="1"/>
  <c r="E377" i="3"/>
  <c r="I377" i="3" s="1"/>
  <c r="E411" i="3"/>
  <c r="I411" i="3" s="1"/>
  <c r="E413" i="3"/>
  <c r="I413" i="3" s="1"/>
  <c r="E282" i="3"/>
  <c r="I282" i="3" s="1"/>
  <c r="E93" i="3"/>
  <c r="E376" i="3"/>
  <c r="I376" i="3" s="1"/>
  <c r="E85" i="3"/>
  <c r="I85" i="3" s="1"/>
  <c r="E373" i="3"/>
  <c r="I373" i="3" s="1"/>
  <c r="E345" i="3"/>
  <c r="I345" i="3" s="1"/>
  <c r="I380" i="3"/>
  <c r="E263" i="3"/>
  <c r="E256" i="3"/>
  <c r="I256" i="3" s="1"/>
  <c r="I262" i="3"/>
  <c r="E374" i="3"/>
  <c r="I374" i="3" s="1"/>
  <c r="E226" i="3"/>
  <c r="I226" i="3" s="1"/>
  <c r="E308" i="3"/>
  <c r="F308" i="3" s="1"/>
  <c r="Q70" i="4" s="1"/>
  <c r="M70" i="4" s="1"/>
  <c r="E215" i="3"/>
  <c r="I215" i="3" s="1"/>
  <c r="E414" i="3"/>
  <c r="I414" i="3" s="1"/>
  <c r="E410" i="3"/>
  <c r="I410" i="3" s="1"/>
  <c r="E346" i="3"/>
  <c r="I346" i="3" s="1"/>
  <c r="E183" i="3"/>
  <c r="I183" i="3" s="1"/>
  <c r="G465" i="3"/>
  <c r="E298" i="3"/>
  <c r="I298" i="3" s="1"/>
  <c r="E199" i="3"/>
  <c r="G199" i="3" s="1"/>
  <c r="E458" i="3"/>
  <c r="I458" i="3" s="1"/>
  <c r="E461" i="3"/>
  <c r="I461" i="3" s="1"/>
  <c r="E11" i="3"/>
  <c r="I11" i="3" s="1"/>
  <c r="E418" i="3"/>
  <c r="I418" i="3" s="1"/>
  <c r="E12" i="3"/>
  <c r="E455" i="3"/>
  <c r="I455" i="3" s="1"/>
  <c r="E219" i="3"/>
  <c r="I219" i="3" s="1"/>
  <c r="E456" i="3"/>
  <c r="I456" i="3" s="1"/>
  <c r="E454" i="3"/>
  <c r="I454" i="3" s="1"/>
  <c r="I422" i="3"/>
  <c r="E64" i="3"/>
  <c r="I64" i="3" s="1"/>
  <c r="E260" i="3"/>
  <c r="I260" i="3" s="1"/>
  <c r="E375" i="3"/>
  <c r="I375" i="3" s="1"/>
  <c r="I381" i="3"/>
  <c r="E360" i="3"/>
  <c r="I360" i="3" s="1"/>
  <c r="E249" i="3"/>
  <c r="I249" i="3" s="1"/>
  <c r="E476" i="3"/>
  <c r="I476" i="3" s="1"/>
  <c r="E251" i="3"/>
  <c r="I251" i="3" s="1"/>
  <c r="E167" i="3"/>
  <c r="G167" i="3" s="1"/>
  <c r="I167" i="3" s="1"/>
  <c r="AA39" i="9"/>
  <c r="AC39" i="9" s="1"/>
  <c r="AA43" i="9"/>
  <c r="AC43" i="9" s="1"/>
  <c r="AA40" i="9"/>
  <c r="AC40" i="9" s="1"/>
  <c r="AA33" i="9"/>
  <c r="AC33" i="9" s="1"/>
  <c r="E43" i="2"/>
  <c r="AA42" i="9"/>
  <c r="AC42" i="9" s="1"/>
  <c r="AA37" i="9"/>
  <c r="AC37" i="9" s="1"/>
  <c r="E32" i="2"/>
  <c r="E45" i="1"/>
  <c r="I50" i="1" s="1"/>
  <c r="D48" i="8"/>
  <c r="D50" i="8" s="1"/>
  <c r="D26" i="8"/>
  <c r="D25" i="8"/>
  <c r="E33" i="1"/>
  <c r="I38" i="1" s="1"/>
  <c r="J18" i="9"/>
  <c r="Y19" i="9"/>
  <c r="J19" i="9"/>
  <c r="Y18" i="9"/>
  <c r="E19" i="9"/>
  <c r="E18" i="9"/>
  <c r="O18" i="9"/>
  <c r="O19" i="9"/>
  <c r="E242" i="3"/>
  <c r="I242" i="3" s="1"/>
  <c r="E473" i="3"/>
  <c r="I473" i="3" s="1"/>
  <c r="E235" i="3"/>
  <c r="P18" i="4" s="1"/>
  <c r="L18" i="4" s="1"/>
  <c r="AA18" i="4" s="1"/>
  <c r="I367" i="3"/>
  <c r="I307" i="3"/>
  <c r="E174" i="3"/>
  <c r="I174" i="3" s="1"/>
  <c r="E84" i="3"/>
  <c r="G84" i="3" s="1"/>
  <c r="E170" i="3"/>
  <c r="I170" i="3" s="1"/>
  <c r="E297" i="3"/>
  <c r="E306" i="3"/>
  <c r="I306" i="3" s="1"/>
  <c r="E182" i="3"/>
  <c r="G182" i="3" s="1"/>
  <c r="I182" i="3" s="1"/>
  <c r="E178" i="3"/>
  <c r="I178" i="3" s="1"/>
  <c r="E302" i="3"/>
  <c r="E349" i="3"/>
  <c r="I349" i="3" s="1"/>
  <c r="E216" i="3"/>
  <c r="I216" i="3" s="1"/>
  <c r="E88" i="3"/>
  <c r="E91" i="3"/>
  <c r="I91" i="3" s="1"/>
  <c r="E460" i="3"/>
  <c r="I460" i="3" s="1"/>
  <c r="E425" i="3"/>
  <c r="I425" i="3" s="1"/>
  <c r="E437" i="3"/>
  <c r="I437" i="3" s="1"/>
  <c r="E192" i="3"/>
  <c r="I192" i="3" s="1"/>
  <c r="E348" i="3"/>
  <c r="I348" i="3" s="1"/>
  <c r="E342" i="3"/>
  <c r="I342" i="3" s="1"/>
  <c r="E87" i="3"/>
  <c r="I87" i="3" s="1"/>
  <c r="E463" i="3"/>
  <c r="I463" i="3" s="1"/>
  <c r="E347" i="3"/>
  <c r="I347" i="3" s="1"/>
  <c r="E92" i="3"/>
  <c r="I92" i="3" s="1"/>
  <c r="E267" i="3"/>
  <c r="I267" i="3" s="1"/>
  <c r="E434" i="3"/>
  <c r="I434" i="3" s="1"/>
  <c r="E452" i="3"/>
  <c r="I452" i="3" s="1"/>
  <c r="E424" i="3"/>
  <c r="I424" i="3" s="1"/>
  <c r="E312" i="3"/>
  <c r="I312" i="3" s="1"/>
  <c r="E435" i="3"/>
  <c r="I435" i="3" s="1"/>
  <c r="E433" i="3"/>
  <c r="I433" i="3" s="1"/>
  <c r="E223" i="3"/>
  <c r="I223" i="3" s="1"/>
  <c r="E188" i="3"/>
  <c r="I188" i="3" s="1"/>
  <c r="E427" i="3"/>
  <c r="I427" i="3" s="1"/>
  <c r="E316" i="3"/>
  <c r="I316" i="3" s="1"/>
  <c r="E459" i="3"/>
  <c r="I459" i="3" s="1"/>
  <c r="E343" i="3"/>
  <c r="I343" i="3" s="1"/>
  <c r="I464" i="3"/>
  <c r="E430" i="3"/>
  <c r="I430" i="3" s="1"/>
  <c r="E426" i="3"/>
  <c r="I426" i="3" s="1"/>
  <c r="E191" i="3"/>
  <c r="I191" i="3" s="1"/>
  <c r="E432" i="3"/>
  <c r="I432" i="3" s="1"/>
  <c r="E325" i="3"/>
  <c r="G325" i="3" s="1"/>
  <c r="E313" i="3"/>
  <c r="I313" i="3" s="1"/>
  <c r="E310" i="3"/>
  <c r="I310" i="3" s="1"/>
  <c r="E196" i="3"/>
  <c r="I196" i="3" s="1"/>
  <c r="E184" i="3"/>
  <c r="I184" i="3" s="1"/>
  <c r="E101" i="3"/>
  <c r="F101" i="3" s="1"/>
  <c r="Q109" i="4" s="1"/>
  <c r="M109" i="4" s="1"/>
  <c r="E429" i="3"/>
  <c r="I429" i="3" s="1"/>
  <c r="E341" i="3"/>
  <c r="I341" i="3" s="1"/>
  <c r="I352" i="3"/>
  <c r="E318" i="3"/>
  <c r="I318" i="3" s="1"/>
  <c r="E320" i="3"/>
  <c r="I320" i="3" s="1"/>
  <c r="E431" i="3"/>
  <c r="I431" i="3" s="1"/>
  <c r="E319" i="3"/>
  <c r="I319" i="3" s="1"/>
  <c r="E187" i="3"/>
  <c r="I187" i="3" s="1"/>
  <c r="E98" i="3"/>
  <c r="E194" i="3"/>
  <c r="I194" i="3" s="1"/>
  <c r="E315" i="3"/>
  <c r="I315" i="3" s="1"/>
  <c r="E314" i="3"/>
  <c r="I314" i="3" s="1"/>
  <c r="E317" i="3"/>
  <c r="I317" i="3" s="1"/>
  <c r="E193" i="3"/>
  <c r="I193" i="3" s="1"/>
  <c r="I198" i="3"/>
  <c r="E428" i="3"/>
  <c r="I428" i="3" s="1"/>
  <c r="E453" i="3"/>
  <c r="I453" i="3" s="1"/>
  <c r="E222" i="3"/>
  <c r="I222" i="3" s="1"/>
  <c r="E311" i="3"/>
  <c r="I311" i="3" s="1"/>
  <c r="E60" i="3"/>
  <c r="I60" i="3" s="1"/>
  <c r="I181" i="3"/>
  <c r="E186" i="3"/>
  <c r="I186" i="3" s="1"/>
  <c r="E462" i="3"/>
  <c r="I462" i="3" s="1"/>
  <c r="E309" i="3"/>
  <c r="I309" i="3" s="1"/>
  <c r="E171" i="3"/>
  <c r="I171" i="3" s="1"/>
  <c r="E350" i="3"/>
  <c r="I350" i="3" s="1"/>
  <c r="E340" i="3"/>
  <c r="I340" i="3" s="1"/>
  <c r="P216" i="4"/>
  <c r="L216" i="4" s="1"/>
  <c r="E27" i="3"/>
  <c r="I26" i="3"/>
  <c r="E157" i="3"/>
  <c r="I157" i="3" s="1"/>
  <c r="E10" i="3"/>
  <c r="I10" i="3" s="1"/>
  <c r="E285" i="3"/>
  <c r="I285" i="3" s="1"/>
  <c r="E279" i="3"/>
  <c r="I279" i="3" s="1"/>
  <c r="E155" i="3"/>
  <c r="I155" i="3" s="1"/>
  <c r="I166" i="3"/>
  <c r="E329" i="3"/>
  <c r="I329" i="3" s="1"/>
  <c r="E201" i="3"/>
  <c r="I201" i="3" s="1"/>
  <c r="E332" i="3"/>
  <c r="I332" i="3" s="1"/>
  <c r="E326" i="3"/>
  <c r="I326" i="3" s="1"/>
  <c r="E214" i="3"/>
  <c r="G214" i="3" s="1"/>
  <c r="P377" i="4"/>
  <c r="L377" i="4" s="1"/>
  <c r="AA377" i="4" s="1"/>
  <c r="E327" i="3"/>
  <c r="I327" i="3" s="1"/>
  <c r="E211" i="3"/>
  <c r="I211" i="3" s="1"/>
  <c r="I450" i="3"/>
  <c r="E77" i="3"/>
  <c r="I77" i="3" s="1"/>
  <c r="E22" i="3"/>
  <c r="I22" i="3" s="1"/>
  <c r="E200" i="3"/>
  <c r="I200" i="3" s="1"/>
  <c r="E330" i="3"/>
  <c r="I330" i="3" s="1"/>
  <c r="E208" i="3"/>
  <c r="I208" i="3" s="1"/>
  <c r="E161" i="3"/>
  <c r="I161" i="3" s="1"/>
  <c r="E78" i="3"/>
  <c r="I78" i="3" s="1"/>
  <c r="E210" i="3"/>
  <c r="I210" i="3" s="1"/>
  <c r="E79" i="3"/>
  <c r="I79" i="3" s="1"/>
  <c r="E328" i="3"/>
  <c r="I328" i="3" s="1"/>
  <c r="G423" i="3"/>
  <c r="E337" i="3"/>
  <c r="I337" i="3" s="1"/>
  <c r="E209" i="3"/>
  <c r="I209" i="3" s="1"/>
  <c r="I338" i="3"/>
  <c r="E69" i="3"/>
  <c r="I69" i="3" s="1"/>
  <c r="E206" i="3"/>
  <c r="I206" i="3" s="1"/>
  <c r="E334" i="3"/>
  <c r="I334" i="3" s="1"/>
  <c r="I213" i="3"/>
  <c r="P334" i="4"/>
  <c r="L334" i="4" s="1"/>
  <c r="AA334" i="4" s="1"/>
  <c r="E29" i="3"/>
  <c r="I29" i="3" s="1"/>
  <c r="E335" i="3"/>
  <c r="I335" i="3" s="1"/>
  <c r="E207" i="3"/>
  <c r="I207" i="3" s="1"/>
  <c r="E333" i="3"/>
  <c r="I333" i="3" s="1"/>
  <c r="E205" i="3"/>
  <c r="I205" i="3" s="1"/>
  <c r="E336" i="3"/>
  <c r="I336" i="3" s="1"/>
  <c r="E81" i="3"/>
  <c r="P79" i="4" s="1"/>
  <c r="L79" i="4" s="1"/>
  <c r="AA79" i="4" s="1"/>
  <c r="P369" i="4"/>
  <c r="L369" i="4" s="1"/>
  <c r="AA369" i="4" s="1"/>
  <c r="P156" i="4"/>
  <c r="L156" i="4" s="1"/>
  <c r="AA156" i="4" s="1"/>
  <c r="Y23" i="9"/>
  <c r="E289" i="3"/>
  <c r="I289" i="3" s="1"/>
  <c r="E286" i="3"/>
  <c r="I286" i="3" s="1"/>
  <c r="E288" i="3"/>
  <c r="I288" i="3" s="1"/>
  <c r="E280" i="3"/>
  <c r="I280" i="3" s="1"/>
  <c r="E283" i="3"/>
  <c r="I283" i="3" s="1"/>
  <c r="I292" i="3"/>
  <c r="E160" i="3"/>
  <c r="I160" i="3" s="1"/>
  <c r="P16" i="4"/>
  <c r="L16" i="4" s="1"/>
  <c r="AA16" i="4" s="1"/>
  <c r="E154" i="3"/>
  <c r="I154" i="3" s="1"/>
  <c r="E75" i="3"/>
  <c r="I75" i="3" s="1"/>
  <c r="E168" i="3"/>
  <c r="I168" i="3" s="1"/>
  <c r="E74" i="3"/>
  <c r="I74" i="3" s="1"/>
  <c r="E304" i="3"/>
  <c r="I304" i="3" s="1"/>
  <c r="E303" i="3"/>
  <c r="I303" i="3" s="1"/>
  <c r="E189" i="3"/>
  <c r="I189" i="3" s="1"/>
  <c r="E177" i="3"/>
  <c r="I177" i="3" s="1"/>
  <c r="E287" i="3"/>
  <c r="I287" i="3" s="1"/>
  <c r="E51" i="3"/>
  <c r="I51" i="3" s="1"/>
  <c r="E190" i="3"/>
  <c r="I190" i="3" s="1"/>
  <c r="I83" i="3"/>
  <c r="E156" i="3"/>
  <c r="I156" i="3" s="1"/>
  <c r="E175" i="3"/>
  <c r="I175" i="3" s="1"/>
  <c r="E172" i="3"/>
  <c r="I172" i="3" s="1"/>
  <c r="E281" i="3"/>
  <c r="I281" i="3" s="1"/>
  <c r="E158" i="3"/>
  <c r="I158" i="3" s="1"/>
  <c r="E76" i="3"/>
  <c r="I76" i="3" s="1"/>
  <c r="E164" i="3"/>
  <c r="I164" i="3" s="1"/>
  <c r="E73" i="3"/>
  <c r="I73" i="3" s="1"/>
  <c r="E407" i="3"/>
  <c r="I407" i="3" s="1"/>
  <c r="E397" i="3"/>
  <c r="I397" i="3" s="1"/>
  <c r="I408" i="3"/>
  <c r="E295" i="3"/>
  <c r="I295" i="3" s="1"/>
  <c r="E179" i="3"/>
  <c r="I179" i="3" s="1"/>
  <c r="E56" i="3"/>
  <c r="E72" i="3"/>
  <c r="I72" i="3" s="1"/>
  <c r="E185" i="3"/>
  <c r="I185" i="3" s="1"/>
  <c r="E180" i="3"/>
  <c r="I180" i="3" s="1"/>
  <c r="E153" i="3"/>
  <c r="I153" i="3" s="1"/>
  <c r="E53" i="3"/>
  <c r="I53" i="3" s="1"/>
  <c r="E71" i="3"/>
  <c r="E398" i="3"/>
  <c r="I398" i="3" s="1"/>
  <c r="E404" i="3"/>
  <c r="I404" i="3" s="1"/>
  <c r="E70" i="3"/>
  <c r="I70" i="3" s="1"/>
  <c r="E403" i="3"/>
  <c r="I403" i="3" s="1"/>
  <c r="E296" i="3"/>
  <c r="I296" i="3" s="1"/>
  <c r="E409" i="3"/>
  <c r="G409" i="3" s="1"/>
  <c r="E399" i="3"/>
  <c r="I399" i="3" s="1"/>
  <c r="E405" i="3"/>
  <c r="I405" i="3" s="1"/>
  <c r="E173" i="3"/>
  <c r="I173" i="3" s="1"/>
  <c r="E19" i="3"/>
  <c r="I19" i="3" s="1"/>
  <c r="E62" i="3"/>
  <c r="I62" i="3" s="1"/>
  <c r="E176" i="3"/>
  <c r="I176" i="3" s="1"/>
  <c r="E291" i="3"/>
  <c r="I291" i="3" s="1"/>
  <c r="E400" i="3"/>
  <c r="I400" i="3" s="1"/>
  <c r="E406" i="3"/>
  <c r="I406" i="3" s="1"/>
  <c r="E396" i="3"/>
  <c r="I396" i="3" s="1"/>
  <c r="E402" i="3"/>
  <c r="I402" i="3" s="1"/>
  <c r="E290" i="3"/>
  <c r="I290" i="3" s="1"/>
  <c r="E284" i="3"/>
  <c r="I284" i="3" s="1"/>
  <c r="E165" i="3"/>
  <c r="I165" i="3" s="1"/>
  <c r="E162" i="3"/>
  <c r="I162" i="3" s="1"/>
  <c r="E163" i="3"/>
  <c r="I163" i="3" s="1"/>
  <c r="E146" i="3"/>
  <c r="I146" i="3" s="1"/>
  <c r="E268" i="3"/>
  <c r="I268" i="3" s="1"/>
  <c r="E395" i="3"/>
  <c r="I395" i="3" s="1"/>
  <c r="E265" i="3"/>
  <c r="I265" i="3" s="1"/>
  <c r="E389" i="3"/>
  <c r="I389" i="3" s="1"/>
  <c r="E354" i="3"/>
  <c r="I354" i="3" s="1"/>
  <c r="E365" i="3"/>
  <c r="I365" i="3" s="1"/>
  <c r="E143" i="3"/>
  <c r="I143" i="3" s="1"/>
  <c r="I44" i="3"/>
  <c r="E469" i="3"/>
  <c r="I469" i="3" s="1"/>
  <c r="I479" i="3"/>
  <c r="E363" i="3"/>
  <c r="I363" i="3" s="1"/>
  <c r="I478" i="3"/>
  <c r="E244" i="3"/>
  <c r="I244" i="3" s="1"/>
  <c r="I151" i="3"/>
  <c r="E39" i="3"/>
  <c r="I39" i="3" s="1"/>
  <c r="E234" i="3"/>
  <c r="I234" i="3" s="1"/>
  <c r="E359" i="3"/>
  <c r="I359" i="3" s="1"/>
  <c r="E362" i="3"/>
  <c r="I362" i="3" s="1"/>
  <c r="E357" i="3"/>
  <c r="I357" i="3" s="1"/>
  <c r="E248" i="3"/>
  <c r="G248" i="3" s="1"/>
  <c r="E243" i="3"/>
  <c r="I243" i="3" s="1"/>
  <c r="I247" i="3"/>
  <c r="E237" i="3"/>
  <c r="E364" i="3"/>
  <c r="I364" i="3" s="1"/>
  <c r="E474" i="3"/>
  <c r="I474" i="3" s="1"/>
  <c r="E468" i="3"/>
  <c r="I468" i="3" s="1"/>
  <c r="I115" i="3"/>
  <c r="E144" i="3"/>
  <c r="I144" i="3" s="1"/>
  <c r="E109" i="3"/>
  <c r="I109" i="3" s="1"/>
  <c r="E392" i="3"/>
  <c r="I392" i="3" s="1"/>
  <c r="E119" i="3"/>
  <c r="I119" i="3" s="1"/>
  <c r="E386" i="3"/>
  <c r="I386" i="3" s="1"/>
  <c r="E124" i="3"/>
  <c r="I124" i="3" s="1"/>
  <c r="P33" i="4"/>
  <c r="L33" i="4" s="1"/>
  <c r="AA33" i="4" s="1"/>
  <c r="P102" i="4"/>
  <c r="L102" i="4" s="1"/>
  <c r="AA102" i="4" s="1"/>
  <c r="P320" i="4"/>
  <c r="L320" i="4" s="1"/>
  <c r="AA320" i="4" s="1"/>
  <c r="P30" i="4"/>
  <c r="L30" i="4" s="1"/>
  <c r="AA30" i="4" s="1"/>
  <c r="E145" i="3"/>
  <c r="I145" i="3" s="1"/>
  <c r="E388" i="3"/>
  <c r="I388" i="3" s="1"/>
  <c r="E278" i="3"/>
  <c r="G278" i="3" s="1"/>
  <c r="I278" i="3" s="1"/>
  <c r="E123" i="3"/>
  <c r="I123" i="3" s="1"/>
  <c r="E270" i="3"/>
  <c r="I270" i="3" s="1"/>
  <c r="E121" i="3"/>
  <c r="I121" i="3" s="1"/>
  <c r="E110" i="3"/>
  <c r="E116" i="3"/>
  <c r="P314" i="4"/>
  <c r="L314" i="4" s="1"/>
  <c r="AA314" i="4" s="1"/>
  <c r="E138" i="3"/>
  <c r="I138" i="3" s="1"/>
  <c r="E275" i="3"/>
  <c r="I275" i="3" s="1"/>
  <c r="E273" i="3"/>
  <c r="I273" i="3" s="1"/>
  <c r="E128" i="3"/>
  <c r="I128" i="3" s="1"/>
  <c r="E383" i="3"/>
  <c r="I383" i="3" s="1"/>
  <c r="P61" i="4"/>
  <c r="L61" i="4" s="1"/>
  <c r="AA61" i="4" s="1"/>
  <c r="E122" i="3"/>
  <c r="I122" i="3" s="1"/>
  <c r="E271" i="3"/>
  <c r="I271" i="3" s="1"/>
  <c r="E393" i="3"/>
  <c r="I393" i="3" s="1"/>
  <c r="E105" i="3"/>
  <c r="I105" i="3" s="1"/>
  <c r="E384" i="3"/>
  <c r="I384" i="3" s="1"/>
  <c r="E269" i="3"/>
  <c r="I269" i="3" s="1"/>
  <c r="E107" i="3"/>
  <c r="I107" i="3" s="1"/>
  <c r="E387" i="3"/>
  <c r="I387" i="3" s="1"/>
  <c r="E274" i="3"/>
  <c r="I274" i="3" s="1"/>
  <c r="E149" i="3"/>
  <c r="I149" i="3" s="1"/>
  <c r="E133" i="3"/>
  <c r="I133" i="3" s="1"/>
  <c r="P269" i="4"/>
  <c r="L269" i="4" s="1"/>
  <c r="AA269" i="4" s="1"/>
  <c r="P310" i="4"/>
  <c r="L310" i="4" s="1"/>
  <c r="P56" i="4"/>
  <c r="L56" i="4" s="1"/>
  <c r="AA56" i="4" s="1"/>
  <c r="E148" i="3"/>
  <c r="I148" i="3" s="1"/>
  <c r="P311" i="4"/>
  <c r="L311" i="4" s="1"/>
  <c r="AA311" i="4" s="1"/>
  <c r="E142" i="3"/>
  <c r="I142" i="3" s="1"/>
  <c r="E136" i="3"/>
  <c r="I136" i="3" s="1"/>
  <c r="E118" i="3"/>
  <c r="G118" i="3" s="1"/>
  <c r="E385" i="3"/>
  <c r="I385" i="3" s="1"/>
  <c r="E102" i="3"/>
  <c r="I102" i="3" s="1"/>
  <c r="E137" i="3"/>
  <c r="I137" i="3" s="1"/>
  <c r="E104" i="3"/>
  <c r="I104" i="3" s="1"/>
  <c r="E130" i="3"/>
  <c r="I130" i="3" s="1"/>
  <c r="E125" i="3"/>
  <c r="I125" i="3" s="1"/>
  <c r="E382" i="3"/>
  <c r="I382" i="3" s="1"/>
  <c r="E272" i="3"/>
  <c r="I272" i="3" s="1"/>
  <c r="E132" i="3"/>
  <c r="I132" i="3" s="1"/>
  <c r="E276" i="3"/>
  <c r="I276" i="3" s="1"/>
  <c r="E97" i="3"/>
  <c r="I97" i="3" s="1"/>
  <c r="E147" i="3"/>
  <c r="I147" i="3" s="1"/>
  <c r="E106" i="3"/>
  <c r="I106" i="3" s="1"/>
  <c r="E103" i="3"/>
  <c r="I103" i="3" s="1"/>
  <c r="I117" i="3"/>
  <c r="E264" i="3"/>
  <c r="I264" i="3" s="1"/>
  <c r="E135" i="3"/>
  <c r="G135" i="3" s="1"/>
  <c r="E390" i="3"/>
  <c r="I390" i="3" s="1"/>
  <c r="I134" i="3"/>
  <c r="I277" i="3"/>
  <c r="E140" i="3"/>
  <c r="I140" i="3" s="1"/>
  <c r="E141" i="3"/>
  <c r="I141" i="3" s="1"/>
  <c r="E112" i="3"/>
  <c r="I112" i="3" s="1"/>
  <c r="E108" i="3"/>
  <c r="I108" i="3" s="1"/>
  <c r="E111" i="3"/>
  <c r="I111" i="3" s="1"/>
  <c r="E113" i="3"/>
  <c r="I113" i="3" s="1"/>
  <c r="E120" i="3"/>
  <c r="I120" i="3" s="1"/>
  <c r="E139" i="3"/>
  <c r="E126" i="3"/>
  <c r="I126" i="3" s="1"/>
  <c r="E391" i="3"/>
  <c r="I391" i="3" s="1"/>
  <c r="E127" i="3"/>
  <c r="I127" i="3" s="1"/>
  <c r="E25" i="3"/>
  <c r="I25" i="3" s="1"/>
  <c r="P66" i="4"/>
  <c r="L66" i="4" s="1"/>
  <c r="AA66" i="4" s="1"/>
  <c r="P72" i="4"/>
  <c r="L72" i="4" s="1"/>
  <c r="P57" i="4"/>
  <c r="L57" i="4" s="1"/>
  <c r="P69" i="4"/>
  <c r="L69" i="4" s="1"/>
  <c r="AA69" i="4" s="1"/>
  <c r="P64" i="4"/>
  <c r="L64" i="4" s="1"/>
  <c r="AA64" i="4" s="1"/>
  <c r="P65" i="4"/>
  <c r="L65" i="4" s="1"/>
  <c r="AA65" i="4" s="1"/>
  <c r="P67" i="4"/>
  <c r="L67" i="4" s="1"/>
  <c r="AA67" i="4" s="1"/>
  <c r="P68" i="4"/>
  <c r="L68" i="4" s="1"/>
  <c r="AA68" i="4" s="1"/>
  <c r="E65" i="3"/>
  <c r="I65" i="3" s="1"/>
  <c r="E28" i="3"/>
  <c r="I28" i="3" s="1"/>
  <c r="E239" i="3"/>
  <c r="I239" i="3" s="1"/>
  <c r="E218" i="3"/>
  <c r="I218" i="3" s="1"/>
  <c r="E259" i="3"/>
  <c r="I259" i="3" s="1"/>
  <c r="E255" i="3"/>
  <c r="I255" i="3" s="1"/>
  <c r="E240" i="3"/>
  <c r="I240" i="3" s="1"/>
  <c r="E48" i="3"/>
  <c r="P215" i="4" s="1"/>
  <c r="L215" i="4" s="1"/>
  <c r="P17" i="4"/>
  <c r="L17" i="4" s="1"/>
  <c r="AA17" i="4" s="1"/>
  <c r="P20" i="4"/>
  <c r="L20" i="4" s="1"/>
  <c r="AA20" i="4" s="1"/>
  <c r="E371" i="3"/>
  <c r="I371" i="3" s="1"/>
  <c r="E252" i="3"/>
  <c r="I252" i="3" s="1"/>
  <c r="E355" i="3"/>
  <c r="I355" i="3" s="1"/>
  <c r="E224" i="3"/>
  <c r="I224" i="3" s="1"/>
  <c r="I230" i="3"/>
  <c r="E94" i="3"/>
  <c r="I94" i="3" s="1"/>
  <c r="E13" i="3"/>
  <c r="E372" i="3"/>
  <c r="I372" i="3" s="1"/>
  <c r="E370" i="3"/>
  <c r="I370" i="3" s="1"/>
  <c r="E356" i="3"/>
  <c r="I356" i="3" s="1"/>
  <c r="E378" i="3"/>
  <c r="I378" i="3" s="1"/>
  <c r="E253" i="3"/>
  <c r="I253" i="3" s="1"/>
  <c r="E257" i="3"/>
  <c r="I257" i="3" s="1"/>
  <c r="E238" i="3"/>
  <c r="I238" i="3" s="1"/>
  <c r="E197" i="3"/>
  <c r="I197" i="3" s="1"/>
  <c r="E31" i="3"/>
  <c r="P15" i="4"/>
  <c r="L15" i="4" s="1"/>
  <c r="AA15" i="4" s="1"/>
  <c r="E250" i="3"/>
  <c r="I250" i="3" s="1"/>
  <c r="E467" i="3"/>
  <c r="I467" i="3" s="1"/>
  <c r="E245" i="3"/>
  <c r="I245" i="3" s="1"/>
  <c r="E86" i="3"/>
  <c r="I86" i="3" s="1"/>
  <c r="E96" i="3"/>
  <c r="I96" i="3" s="1"/>
  <c r="E89" i="3"/>
  <c r="I89" i="3" s="1"/>
  <c r="I66" i="3"/>
  <c r="E52" i="3"/>
  <c r="I52" i="3" s="1"/>
  <c r="E14" i="3"/>
  <c r="I14" i="3" s="1"/>
  <c r="E225" i="3"/>
  <c r="I225" i="3" s="1"/>
  <c r="E358" i="3"/>
  <c r="I358" i="3" s="1"/>
  <c r="E228" i="3"/>
  <c r="I228" i="3" s="1"/>
  <c r="E54" i="3"/>
  <c r="E236" i="3"/>
  <c r="I236" i="3" s="1"/>
  <c r="E472" i="3"/>
  <c r="I472" i="3" s="1"/>
  <c r="E59" i="3"/>
  <c r="P534" i="4" s="1"/>
  <c r="L534" i="4" s="1"/>
  <c r="E221" i="3"/>
  <c r="I221" i="3" s="1"/>
  <c r="E35" i="3"/>
  <c r="I35" i="3" s="1"/>
  <c r="E55" i="3"/>
  <c r="I55" i="3" s="1"/>
  <c r="E470" i="3"/>
  <c r="I470" i="3" s="1"/>
  <c r="E36" i="3"/>
  <c r="E37" i="3"/>
  <c r="I37" i="3" s="1"/>
  <c r="E475" i="3"/>
  <c r="I475" i="3" s="1"/>
  <c r="E361" i="3"/>
  <c r="I361" i="3" s="1"/>
  <c r="E241" i="3"/>
  <c r="I241" i="3" s="1"/>
  <c r="E95" i="3"/>
  <c r="I95" i="3" s="1"/>
  <c r="E90" i="3"/>
  <c r="I90" i="3" s="1"/>
  <c r="E20" i="3"/>
  <c r="I20" i="3" s="1"/>
  <c r="E61" i="3"/>
  <c r="I61" i="3" s="1"/>
  <c r="E57" i="3"/>
  <c r="I57" i="3" s="1"/>
  <c r="E217" i="3"/>
  <c r="I217" i="3" s="1"/>
  <c r="E368" i="3"/>
  <c r="I368" i="3" s="1"/>
  <c r="E16" i="3"/>
  <c r="I16" i="3" s="1"/>
  <c r="E24" i="3"/>
  <c r="I366" i="3"/>
  <c r="E67" i="3"/>
  <c r="P108" i="4" s="1"/>
  <c r="L108" i="4" s="1"/>
  <c r="E231" i="3"/>
  <c r="E246" i="3"/>
  <c r="I246" i="3" s="1"/>
  <c r="E58" i="3"/>
  <c r="I58" i="3" s="1"/>
  <c r="E466" i="3"/>
  <c r="I466" i="3" s="1"/>
  <c r="E38" i="3"/>
  <c r="I38" i="3" s="1"/>
  <c r="D68" i="8"/>
  <c r="D70" i="8" s="1"/>
  <c r="P157" i="4"/>
  <c r="L157" i="4" s="1"/>
  <c r="AA157" i="4" s="1"/>
  <c r="P50" i="4"/>
  <c r="L50" i="4" s="1"/>
  <c r="P234" i="4"/>
  <c r="L234" i="4" s="1"/>
  <c r="AA234" i="4" s="1"/>
  <c r="P324" i="4"/>
  <c r="L324" i="4" s="1"/>
  <c r="AA324" i="4" s="1"/>
  <c r="P243" i="4"/>
  <c r="L243" i="4" s="1"/>
  <c r="AA243" i="4" s="1"/>
  <c r="P158" i="4"/>
  <c r="L158" i="4" s="1"/>
  <c r="AA158" i="4" s="1"/>
  <c r="P313" i="4"/>
  <c r="L313" i="4" s="1"/>
  <c r="AA313" i="4" s="1"/>
  <c r="P245" i="4"/>
  <c r="L245" i="4" s="1"/>
  <c r="P315" i="4"/>
  <c r="L315" i="4" s="1"/>
  <c r="AA315" i="4" s="1"/>
  <c r="P238" i="4"/>
  <c r="L238" i="4" s="1"/>
  <c r="AA238" i="4" s="1"/>
  <c r="P255" i="4"/>
  <c r="L255" i="4" s="1"/>
  <c r="AA255" i="4" s="1"/>
  <c r="P187" i="4"/>
  <c r="L187" i="4" s="1"/>
  <c r="AA187" i="4" s="1"/>
  <c r="P250" i="4"/>
  <c r="L250" i="4" s="1"/>
  <c r="AA250" i="4" s="1"/>
  <c r="P161" i="4"/>
  <c r="L161" i="4" s="1"/>
  <c r="AA161" i="4" s="1"/>
  <c r="P281" i="4"/>
  <c r="L281" i="4" s="1"/>
  <c r="AA281" i="4" s="1"/>
  <c r="P160" i="4"/>
  <c r="L160" i="4" s="1"/>
  <c r="AA160" i="4" s="1"/>
  <c r="P246" i="4"/>
  <c r="L246" i="4" s="1"/>
  <c r="AA246" i="4" s="1"/>
  <c r="P71" i="4"/>
  <c r="L71" i="4" s="1"/>
  <c r="AA71" i="4" s="1"/>
  <c r="P58" i="4"/>
  <c r="L58" i="4" s="1"/>
  <c r="P352" i="4"/>
  <c r="L352" i="4" s="1"/>
  <c r="AA352" i="4" s="1"/>
  <c r="P51" i="4"/>
  <c r="L51" i="4" s="1"/>
  <c r="AA51" i="4" s="1"/>
  <c r="P239" i="4"/>
  <c r="L239" i="4" s="1"/>
  <c r="AA239" i="4" s="1"/>
  <c r="P252" i="4"/>
  <c r="L252" i="4" s="1"/>
  <c r="AA252" i="4" s="1"/>
  <c r="P277" i="4"/>
  <c r="L277" i="4" s="1"/>
  <c r="P136" i="4"/>
  <c r="L136" i="4" s="1"/>
  <c r="AA136" i="4" s="1"/>
  <c r="P316" i="4"/>
  <c r="L316" i="4" s="1"/>
  <c r="AA316" i="4" s="1"/>
  <c r="P235" i="4"/>
  <c r="L235" i="4" s="1"/>
  <c r="AA235" i="4" s="1"/>
  <c r="P236" i="4"/>
  <c r="L236" i="4" s="1"/>
  <c r="AA236" i="4" s="1"/>
  <c r="P135" i="4"/>
  <c r="L135" i="4" s="1"/>
  <c r="AA135" i="4" s="1"/>
  <c r="P279" i="4"/>
  <c r="L279" i="4" s="1"/>
  <c r="AA279" i="4" s="1"/>
  <c r="P212" i="4"/>
  <c r="L212" i="4" s="1"/>
  <c r="AA212" i="4" s="1"/>
  <c r="P354" i="4"/>
  <c r="L354" i="4" s="1"/>
  <c r="AA354" i="4" s="1"/>
  <c r="P280" i="4"/>
  <c r="L280" i="4" s="1"/>
  <c r="AA280" i="4" s="1"/>
  <c r="P211" i="4"/>
  <c r="L211" i="4" s="1"/>
  <c r="AA211" i="4" s="1"/>
  <c r="P217" i="4"/>
  <c r="L217" i="4" s="1"/>
  <c r="P278" i="4"/>
  <c r="L278" i="4" s="1"/>
  <c r="AA278" i="4" s="1"/>
  <c r="P341" i="4"/>
  <c r="L341" i="4" s="1"/>
  <c r="AA341" i="4" s="1"/>
  <c r="P267" i="4"/>
  <c r="L267" i="4" s="1"/>
  <c r="AA267" i="4" s="1"/>
  <c r="P210" i="4"/>
  <c r="L210" i="4" s="1"/>
  <c r="AA210" i="4" s="1"/>
  <c r="P198" i="4"/>
  <c r="L198" i="4" s="1"/>
  <c r="AA198" i="4" s="1"/>
  <c r="P191" i="4"/>
  <c r="L191" i="4" s="1"/>
  <c r="AA191" i="4" s="1"/>
  <c r="P254" i="4"/>
  <c r="L254" i="4" s="1"/>
  <c r="AA254" i="4" s="1"/>
  <c r="P188" i="4"/>
  <c r="L188" i="4" s="1"/>
  <c r="AA188" i="4" s="1"/>
  <c r="P318" i="4"/>
  <c r="L318" i="4" s="1"/>
  <c r="AA318" i="4" s="1"/>
  <c r="P129" i="4"/>
  <c r="L129" i="4" s="1"/>
  <c r="AA129" i="4" s="1"/>
  <c r="P21" i="4"/>
  <c r="L21" i="4" s="1"/>
  <c r="AA21" i="4" s="1"/>
  <c r="I199" i="3"/>
  <c r="P125" i="4"/>
  <c r="L125" i="4" s="1"/>
  <c r="AA125" i="4" s="1"/>
  <c r="P26" i="4"/>
  <c r="L26" i="4" s="1"/>
  <c r="AA26" i="4" s="1"/>
  <c r="P233" i="4"/>
  <c r="L233" i="4" s="1"/>
  <c r="P128" i="4"/>
  <c r="L128" i="4" s="1"/>
  <c r="AA128" i="4" s="1"/>
  <c r="P282" i="4"/>
  <c r="L282" i="4" s="1"/>
  <c r="AA282" i="4" s="1"/>
  <c r="P285" i="4"/>
  <c r="L285" i="4" s="1"/>
  <c r="AA285" i="4" s="1"/>
  <c r="P379" i="4"/>
  <c r="L379" i="4" s="1"/>
  <c r="AA379" i="4" s="1"/>
  <c r="P325" i="4"/>
  <c r="L325" i="4" s="1"/>
  <c r="AA325" i="4" s="1"/>
  <c r="P286" i="4"/>
  <c r="L286" i="4" s="1"/>
  <c r="AA286" i="4" s="1"/>
  <c r="P380" i="4"/>
  <c r="L380" i="4" s="1"/>
  <c r="AA380" i="4" s="1"/>
  <c r="P287" i="4"/>
  <c r="L287" i="4" s="1"/>
  <c r="AA287" i="4" s="1"/>
  <c r="P288" i="4"/>
  <c r="L288" i="4" s="1"/>
  <c r="P70" i="4"/>
  <c r="L70" i="4" s="1"/>
  <c r="P141" i="4"/>
  <c r="L141" i="4" s="1"/>
  <c r="AA141" i="4" s="1"/>
  <c r="P127" i="4"/>
  <c r="L127" i="4" s="1"/>
  <c r="AA127" i="4" s="1"/>
  <c r="P153" i="4"/>
  <c r="L153" i="4" s="1"/>
  <c r="AA153" i="4" s="1"/>
  <c r="P84" i="4"/>
  <c r="L84" i="4" s="1"/>
  <c r="AA84" i="4" s="1"/>
  <c r="P163" i="4"/>
  <c r="L163" i="4" s="1"/>
  <c r="P27" i="4"/>
  <c r="L27" i="4" s="1"/>
  <c r="AA27" i="4" s="1"/>
  <c r="P378" i="4"/>
  <c r="L378" i="4" s="1"/>
  <c r="AA378" i="4" s="1"/>
  <c r="P326" i="4"/>
  <c r="L326" i="4" s="1"/>
  <c r="AA326" i="4" s="1"/>
  <c r="P283" i="4"/>
  <c r="L283" i="4" s="1"/>
  <c r="AA283" i="4" s="1"/>
  <c r="P39" i="4"/>
  <c r="L39" i="4" s="1"/>
  <c r="AA39" i="4" s="1"/>
  <c r="P59" i="4"/>
  <c r="L59" i="4" s="1"/>
  <c r="AA59" i="4" s="1"/>
  <c r="P86" i="4"/>
  <c r="L86" i="4" s="1"/>
  <c r="AA86" i="4" s="1"/>
  <c r="P162" i="4"/>
  <c r="L162" i="4" s="1"/>
  <c r="P321" i="4"/>
  <c r="L321" i="4" s="1"/>
  <c r="AA321" i="4" s="1"/>
  <c r="P159" i="4"/>
  <c r="L159" i="4" s="1"/>
  <c r="AA159" i="4" s="1"/>
  <c r="P322" i="4"/>
  <c r="L322" i="4" s="1"/>
  <c r="AA322" i="4" s="1"/>
  <c r="P284" i="4"/>
  <c r="L284" i="4" s="1"/>
  <c r="AA284" i="4" s="1"/>
  <c r="P261" i="4"/>
  <c r="L261" i="4" s="1"/>
  <c r="AA261" i="4" s="1"/>
  <c r="P85" i="4"/>
  <c r="L85" i="4" s="1"/>
  <c r="P80" i="4"/>
  <c r="L80" i="4" s="1"/>
  <c r="AA80" i="4" s="1"/>
  <c r="P319" i="4"/>
  <c r="L319" i="4" s="1"/>
  <c r="AA319" i="4" s="1"/>
  <c r="P338" i="4"/>
  <c r="L338" i="4" s="1"/>
  <c r="AA338" i="4" s="1"/>
  <c r="P256" i="4"/>
  <c r="L256" i="4" s="1"/>
  <c r="AA256" i="4" s="1"/>
  <c r="P63" i="4"/>
  <c r="L63" i="4" s="1"/>
  <c r="AA63" i="4" s="1"/>
  <c r="P343" i="4"/>
  <c r="L343" i="4" s="1"/>
  <c r="AA343" i="4" s="1"/>
  <c r="P130" i="4"/>
  <c r="L130" i="4" s="1"/>
  <c r="AA130" i="4" s="1"/>
  <c r="P357" i="4"/>
  <c r="L357" i="4" s="1"/>
  <c r="AA357" i="4" s="1"/>
  <c r="P242" i="4"/>
  <c r="L242" i="4" s="1"/>
  <c r="AA242" i="4" s="1"/>
  <c r="P330" i="4"/>
  <c r="L330" i="4" s="1"/>
  <c r="AA330" i="4" s="1"/>
  <c r="P331" i="4"/>
  <c r="L331" i="4" s="1"/>
  <c r="AA331" i="4" s="1"/>
  <c r="P140" i="4"/>
  <c r="L140" i="4" s="1"/>
  <c r="AA140" i="4" s="1"/>
  <c r="P98" i="4"/>
  <c r="L98" i="4" s="1"/>
  <c r="AA98" i="4" s="1"/>
  <c r="P114" i="4"/>
  <c r="L114" i="4" s="1"/>
  <c r="AA114" i="4" s="1"/>
  <c r="P329" i="4"/>
  <c r="L329" i="4" s="1"/>
  <c r="AA329" i="4" s="1"/>
  <c r="P323" i="4"/>
  <c r="L323" i="4" s="1"/>
  <c r="AA323" i="4" s="1"/>
  <c r="E82" i="3"/>
  <c r="E80" i="3"/>
  <c r="I80" i="3" s="1"/>
  <c r="E68" i="3"/>
  <c r="I68" i="3" s="1"/>
  <c r="E17" i="3"/>
  <c r="E23" i="3"/>
  <c r="I23" i="3" s="1"/>
  <c r="E21" i="3"/>
  <c r="I21" i="3" s="1"/>
  <c r="E18" i="3"/>
  <c r="I18" i="3" s="1"/>
  <c r="P312" i="4"/>
  <c r="L312" i="4" s="1"/>
  <c r="AA312" i="4" s="1"/>
  <c r="E63" i="3"/>
  <c r="I63" i="3" s="1"/>
  <c r="P74" i="4"/>
  <c r="L74" i="4" s="1"/>
  <c r="AA74" i="4" s="1"/>
  <c r="E323" i="3"/>
  <c r="I323" i="3" s="1"/>
  <c r="E233" i="3"/>
  <c r="E227" i="3"/>
  <c r="I227" i="3" s="1"/>
  <c r="E322" i="3"/>
  <c r="E32" i="3"/>
  <c r="I32" i="3" s="1"/>
  <c r="E40" i="3"/>
  <c r="I40" i="3" s="1"/>
  <c r="E50" i="3"/>
  <c r="E99" i="3"/>
  <c r="E33" i="3"/>
  <c r="I33" i="3" s="1"/>
  <c r="E41" i="3"/>
  <c r="P332" i="4" s="1"/>
  <c r="L332" i="4" s="1"/>
  <c r="AA332" i="4" s="1"/>
  <c r="E114" i="3"/>
  <c r="I114" i="3" s="1"/>
  <c r="E34" i="3"/>
  <c r="I34" i="3" s="1"/>
  <c r="E42" i="3"/>
  <c r="J16" i="9"/>
  <c r="E23" i="9"/>
  <c r="J23" i="9"/>
  <c r="O23" i="9"/>
  <c r="E16" i="9"/>
  <c r="Y16" i="9"/>
  <c r="O16" i="9"/>
  <c r="Y41" i="9"/>
  <c r="Y27" i="9"/>
  <c r="Y40" i="9"/>
  <c r="Y42" i="9"/>
  <c r="J20" i="9"/>
  <c r="O21" i="9"/>
  <c r="Y21" i="9"/>
  <c r="J21" i="9"/>
  <c r="J482" i="3"/>
  <c r="K46" i="3" s="1"/>
  <c r="E20" i="9"/>
  <c r="O20" i="9"/>
  <c r="Y31" i="9"/>
  <c r="G69" i="2"/>
  <c r="Y32" i="9"/>
  <c r="E17" i="9"/>
  <c r="Y43" i="9"/>
  <c r="Y39" i="9"/>
  <c r="Y37" i="9"/>
  <c r="Y33" i="9"/>
  <c r="Y28" i="9"/>
  <c r="Y29" i="9"/>
  <c r="J17" i="9"/>
  <c r="Y34" i="9"/>
  <c r="Y20" i="9"/>
  <c r="Y35" i="9"/>
  <c r="Y25" i="9"/>
  <c r="Y30" i="9"/>
  <c r="E21" i="9"/>
  <c r="O17" i="9"/>
  <c r="AE21" i="9" l="1"/>
  <c r="D11" i="14" s="1"/>
  <c r="E11" i="14" s="1"/>
  <c r="AE19" i="9"/>
  <c r="D9" i="14" s="1"/>
  <c r="E9" i="14" s="1"/>
  <c r="AE16" i="9"/>
  <c r="D6" i="14" s="1"/>
  <c r="AE26" i="9"/>
  <c r="D16" i="14" s="1"/>
  <c r="E16" i="14" s="1"/>
  <c r="AE17" i="9"/>
  <c r="D7" i="14" s="1"/>
  <c r="E7" i="14" s="1"/>
  <c r="AE23" i="9"/>
  <c r="D13" i="14" s="1"/>
  <c r="E13" i="14" s="1"/>
  <c r="AE22" i="9"/>
  <c r="D12" i="14" s="1"/>
  <c r="E12" i="14" s="1"/>
  <c r="AE24" i="9"/>
  <c r="D14" i="14" s="1"/>
  <c r="E14" i="14" s="1"/>
  <c r="AE20" i="9"/>
  <c r="D10" i="14" s="1"/>
  <c r="E10" i="14" s="1"/>
  <c r="AE18" i="9"/>
  <c r="D8" i="14" s="1"/>
  <c r="E8" i="14" s="1"/>
  <c r="AA70" i="4"/>
  <c r="P167" i="4"/>
  <c r="L167" i="4" s="1"/>
  <c r="P143" i="4"/>
  <c r="L143" i="4" s="1"/>
  <c r="AA143" i="4" s="1"/>
  <c r="P192" i="4"/>
  <c r="L192" i="4" s="1"/>
  <c r="AA192" i="4" s="1"/>
  <c r="I27" i="3"/>
  <c r="F27" i="3"/>
  <c r="Q105" i="4" s="1"/>
  <c r="M105" i="4" s="1"/>
  <c r="P106" i="4"/>
  <c r="L106" i="4" s="1"/>
  <c r="I263" i="3"/>
  <c r="F263" i="3"/>
  <c r="P164" i="4"/>
  <c r="L164" i="4" s="1"/>
  <c r="P271" i="4"/>
  <c r="L271" i="4" s="1"/>
  <c r="AA271" i="4" s="1"/>
  <c r="P107" i="4"/>
  <c r="L107" i="4" s="1"/>
  <c r="P109" i="4"/>
  <c r="L109" i="4" s="1"/>
  <c r="AA109" i="4" s="1"/>
  <c r="P105" i="4"/>
  <c r="L105" i="4" s="1"/>
  <c r="AA105" i="4" s="1"/>
  <c r="AA434" i="4"/>
  <c r="AA277" i="4"/>
  <c r="AA245" i="4"/>
  <c r="AA288" i="4"/>
  <c r="AA468" i="4"/>
  <c r="AA274" i="4"/>
  <c r="AA310" i="4"/>
  <c r="AA233" i="4"/>
  <c r="AA534" i="4"/>
  <c r="AA479" i="4"/>
  <c r="AA392" i="4"/>
  <c r="K48" i="3"/>
  <c r="K308" i="3"/>
  <c r="K263" i="3"/>
  <c r="K101" i="3"/>
  <c r="K152" i="3"/>
  <c r="F67" i="3"/>
  <c r="P146" i="4"/>
  <c r="L146" i="4" s="1"/>
  <c r="AA146" i="4" s="1"/>
  <c r="P60" i="4"/>
  <c r="L60" i="4" s="1"/>
  <c r="AA60" i="4" s="1"/>
  <c r="P139" i="4"/>
  <c r="L139" i="4" s="1"/>
  <c r="AA139" i="4" s="1"/>
  <c r="P197" i="4"/>
  <c r="L197" i="4" s="1"/>
  <c r="AA197" i="4" s="1"/>
  <c r="P327" i="4"/>
  <c r="L327" i="4" s="1"/>
  <c r="AA327" i="4" s="1"/>
  <c r="P118" i="4"/>
  <c r="L118" i="4" s="1"/>
  <c r="AA118" i="4" s="1"/>
  <c r="P87" i="4"/>
  <c r="L87" i="4" s="1"/>
  <c r="AA87" i="4" s="1"/>
  <c r="P10" i="4"/>
  <c r="L10" i="4" s="1"/>
  <c r="AA10" i="4" s="1"/>
  <c r="P226" i="4"/>
  <c r="L226" i="4" s="1"/>
  <c r="AA226" i="4" s="1"/>
  <c r="P177" i="4"/>
  <c r="L177" i="4" s="1"/>
  <c r="AA177" i="4" s="1"/>
  <c r="P89" i="4"/>
  <c r="L89" i="4" s="1"/>
  <c r="AA89" i="4" s="1"/>
  <c r="P53" i="4"/>
  <c r="L53" i="4" s="1"/>
  <c r="AA53" i="4" s="1"/>
  <c r="P43" i="4"/>
  <c r="L43" i="4" s="1"/>
  <c r="AA43" i="4" s="1"/>
  <c r="P47" i="4"/>
  <c r="L47" i="4" s="1"/>
  <c r="AA47" i="4" s="1"/>
  <c r="P42" i="4"/>
  <c r="L42" i="4" s="1"/>
  <c r="AA42" i="4" s="1"/>
  <c r="P41" i="4"/>
  <c r="L41" i="4" s="1"/>
  <c r="AA41" i="4" s="1"/>
  <c r="P232" i="4"/>
  <c r="L232" i="4" s="1"/>
  <c r="AA232" i="4" s="1"/>
  <c r="P231" i="4"/>
  <c r="L231" i="4" s="1"/>
  <c r="AA231" i="4" s="1"/>
  <c r="P230" i="4"/>
  <c r="L230" i="4" s="1"/>
  <c r="AA230" i="4" s="1"/>
  <c r="P229" i="4"/>
  <c r="L229" i="4" s="1"/>
  <c r="AA229" i="4" s="1"/>
  <c r="P228" i="4"/>
  <c r="L228" i="4" s="1"/>
  <c r="AA228" i="4" s="1"/>
  <c r="P227" i="4"/>
  <c r="L227" i="4" s="1"/>
  <c r="AA227" i="4" s="1"/>
  <c r="P225" i="4"/>
  <c r="L225" i="4" s="1"/>
  <c r="AA225" i="4" s="1"/>
  <c r="P224" i="4"/>
  <c r="L224" i="4" s="1"/>
  <c r="AA224" i="4" s="1"/>
  <c r="P223" i="4"/>
  <c r="L223" i="4" s="1"/>
  <c r="AA223" i="4" s="1"/>
  <c r="P222" i="4"/>
  <c r="L222" i="4" s="1"/>
  <c r="AA222" i="4" s="1"/>
  <c r="P221" i="4"/>
  <c r="L221" i="4" s="1"/>
  <c r="AA221" i="4" s="1"/>
  <c r="P220" i="4"/>
  <c r="L220" i="4" s="1"/>
  <c r="AA220" i="4" s="1"/>
  <c r="P209" i="4"/>
  <c r="L209" i="4" s="1"/>
  <c r="AA209" i="4" s="1"/>
  <c r="P208" i="4"/>
  <c r="L208" i="4" s="1"/>
  <c r="AA208" i="4" s="1"/>
  <c r="P207" i="4"/>
  <c r="L207" i="4" s="1"/>
  <c r="AA207" i="4" s="1"/>
  <c r="P206" i="4"/>
  <c r="L206" i="4" s="1"/>
  <c r="AA206" i="4" s="1"/>
  <c r="P203" i="4"/>
  <c r="L203" i="4" s="1"/>
  <c r="AA203" i="4" s="1"/>
  <c r="P204" i="4"/>
  <c r="L204" i="4" s="1"/>
  <c r="AA204" i="4" s="1"/>
  <c r="P199" i="4"/>
  <c r="L199" i="4" s="1"/>
  <c r="AA199" i="4" s="1"/>
  <c r="P200" i="4"/>
  <c r="L200" i="4" s="1"/>
  <c r="AA200" i="4" s="1"/>
  <c r="P201" i="4"/>
  <c r="L201" i="4" s="1"/>
  <c r="AA201" i="4" s="1"/>
  <c r="P202" i="4"/>
  <c r="L202" i="4" s="1"/>
  <c r="AA202" i="4" s="1"/>
  <c r="P172" i="4"/>
  <c r="L172" i="4" s="1"/>
  <c r="AA172" i="4" s="1"/>
  <c r="P173" i="4"/>
  <c r="L173" i="4" s="1"/>
  <c r="AA173" i="4" s="1"/>
  <c r="P171" i="4"/>
  <c r="L171" i="4" s="1"/>
  <c r="AA171" i="4" s="1"/>
  <c r="P183" i="4"/>
  <c r="L183" i="4" s="1"/>
  <c r="AA183" i="4" s="1"/>
  <c r="P182" i="4"/>
  <c r="L182" i="4" s="1"/>
  <c r="AA182" i="4" s="1"/>
  <c r="P181" i="4"/>
  <c r="L181" i="4" s="1"/>
  <c r="AA181" i="4" s="1"/>
  <c r="P180" i="4"/>
  <c r="L180" i="4" s="1"/>
  <c r="AA180" i="4" s="1"/>
  <c r="P179" i="4"/>
  <c r="L179" i="4" s="1"/>
  <c r="AA179" i="4" s="1"/>
  <c r="P178" i="4"/>
  <c r="L178" i="4" s="1"/>
  <c r="AA178" i="4" s="1"/>
  <c r="P176" i="4"/>
  <c r="L176" i="4" s="1"/>
  <c r="AA176" i="4" s="1"/>
  <c r="P175" i="4"/>
  <c r="L175" i="4" s="1"/>
  <c r="AA175" i="4" s="1"/>
  <c r="P174" i="4"/>
  <c r="L174" i="4" s="1"/>
  <c r="AA174" i="4" s="1"/>
  <c r="P148" i="4"/>
  <c r="L148" i="4" s="1"/>
  <c r="AA148" i="4" s="1"/>
  <c r="P149" i="4"/>
  <c r="L149" i="4" s="1"/>
  <c r="AA149" i="4" s="1"/>
  <c r="P120" i="4"/>
  <c r="L120" i="4" s="1"/>
  <c r="AA120" i="4" s="1"/>
  <c r="P119" i="4"/>
  <c r="L119" i="4" s="1"/>
  <c r="AA119" i="4" s="1"/>
  <c r="P100" i="4"/>
  <c r="L100" i="4" s="1"/>
  <c r="AA100" i="4" s="1"/>
  <c r="P101" i="4"/>
  <c r="L101" i="4" s="1"/>
  <c r="AA101" i="4" s="1"/>
  <c r="P96" i="4"/>
  <c r="L96" i="4" s="1"/>
  <c r="AA96" i="4" s="1"/>
  <c r="P95" i="4"/>
  <c r="L95" i="4" s="1"/>
  <c r="AA95" i="4" s="1"/>
  <c r="P93" i="4"/>
  <c r="L93" i="4" s="1"/>
  <c r="AA93" i="4" s="1"/>
  <c r="P92" i="4"/>
  <c r="L92" i="4" s="1"/>
  <c r="AA92" i="4" s="1"/>
  <c r="P91" i="4"/>
  <c r="L91" i="4" s="1"/>
  <c r="AA91" i="4" s="1"/>
  <c r="P81" i="4"/>
  <c r="L81" i="4" s="1"/>
  <c r="AA81" i="4" s="1"/>
  <c r="P82" i="4"/>
  <c r="L82" i="4" s="1"/>
  <c r="AA82" i="4" s="1"/>
  <c r="P55" i="4"/>
  <c r="L55" i="4" s="1"/>
  <c r="AA55" i="4" s="1"/>
  <c r="P54" i="4"/>
  <c r="L54" i="4" s="1"/>
  <c r="AA54" i="4" s="1"/>
  <c r="P48" i="4"/>
  <c r="L48" i="4" s="1"/>
  <c r="AA48" i="4" s="1"/>
  <c r="J34" i="14"/>
  <c r="I8" i="14"/>
  <c r="H8" i="14"/>
  <c r="I15" i="14"/>
  <c r="H15" i="14"/>
  <c r="I7" i="14"/>
  <c r="H7" i="14"/>
  <c r="I18" i="14"/>
  <c r="H18" i="14"/>
  <c r="I9" i="14"/>
  <c r="H9" i="14"/>
  <c r="I11" i="14"/>
  <c r="H11" i="14"/>
  <c r="I19" i="14"/>
  <c r="H19" i="14"/>
  <c r="G34" i="14"/>
  <c r="I20" i="14"/>
  <c r="H20" i="14"/>
  <c r="H14" i="14"/>
  <c r="I14" i="14"/>
  <c r="I10" i="14"/>
  <c r="H10" i="14"/>
  <c r="I6" i="14"/>
  <c r="H6" i="14"/>
  <c r="F34" i="14"/>
  <c r="I16" i="14"/>
  <c r="H16" i="14"/>
  <c r="I17" i="14"/>
  <c r="H17" i="14"/>
  <c r="I12" i="14"/>
  <c r="H12" i="14"/>
  <c r="I22" i="14"/>
  <c r="H22" i="14"/>
  <c r="I13" i="14"/>
  <c r="H13" i="14"/>
  <c r="I21" i="14"/>
  <c r="H21" i="14"/>
  <c r="H23" i="14"/>
  <c r="I23" i="14"/>
  <c r="D28" i="8"/>
  <c r="D30" i="8" s="1"/>
  <c r="P289" i="4"/>
  <c r="L289" i="4" s="1"/>
  <c r="P189" i="4"/>
  <c r="L189" i="4" s="1"/>
  <c r="AA189" i="4" s="1"/>
  <c r="P132" i="4"/>
  <c r="L132" i="4" s="1"/>
  <c r="AA132" i="4" s="1"/>
  <c r="P147" i="4"/>
  <c r="L147" i="4" s="1"/>
  <c r="AA147" i="4" s="1"/>
  <c r="P186" i="4"/>
  <c r="L186" i="4" s="1"/>
  <c r="AA186" i="4" s="1"/>
  <c r="P190" i="4"/>
  <c r="L190" i="4" s="1"/>
  <c r="AA190" i="4" s="1"/>
  <c r="P152" i="4"/>
  <c r="L152" i="4" s="1"/>
  <c r="AA152" i="4" s="1"/>
  <c r="P133" i="4"/>
  <c r="L133" i="4" s="1"/>
  <c r="AA133" i="4" s="1"/>
  <c r="P124" i="4"/>
  <c r="L124" i="4" s="1"/>
  <c r="AA124" i="4" s="1"/>
  <c r="P150" i="4"/>
  <c r="L150" i="4" s="1"/>
  <c r="AA150" i="4" s="1"/>
  <c r="P196" i="4"/>
  <c r="L196" i="4" s="1"/>
  <c r="AA196" i="4" s="1"/>
  <c r="P317" i="4"/>
  <c r="L317" i="4" s="1"/>
  <c r="AA317" i="4" s="1"/>
  <c r="P144" i="4"/>
  <c r="L144" i="4" s="1"/>
  <c r="AA144" i="4" s="1"/>
  <c r="P145" i="4"/>
  <c r="L145" i="4" s="1"/>
  <c r="AA145" i="4" s="1"/>
  <c r="P264" i="4"/>
  <c r="L264" i="4" s="1"/>
  <c r="AA264" i="4" s="1"/>
  <c r="P185" i="4"/>
  <c r="L185" i="4" s="1"/>
  <c r="AA185" i="4" s="1"/>
  <c r="P342" i="4"/>
  <c r="L342" i="4" s="1"/>
  <c r="AA342" i="4" s="1"/>
  <c r="P184" i="4"/>
  <c r="L184" i="4" s="1"/>
  <c r="AA184" i="4" s="1"/>
  <c r="I308" i="3"/>
  <c r="G395" i="3"/>
  <c r="AA31" i="9"/>
  <c r="AA30" i="9"/>
  <c r="P11" i="4"/>
  <c r="L11" i="4" s="1"/>
  <c r="AA11" i="4" s="1"/>
  <c r="P303" i="4"/>
  <c r="L303" i="4" s="1"/>
  <c r="AA303" i="4" s="1"/>
  <c r="I84" i="3"/>
  <c r="P307" i="4"/>
  <c r="L307" i="4" s="1"/>
  <c r="AA307" i="4" s="1"/>
  <c r="P294" i="4"/>
  <c r="L294" i="4" s="1"/>
  <c r="AA294" i="4" s="1"/>
  <c r="P293" i="4"/>
  <c r="L293" i="4" s="1"/>
  <c r="AA293" i="4" s="1"/>
  <c r="P295" i="4"/>
  <c r="L295" i="4" s="1"/>
  <c r="AA295" i="4" s="1"/>
  <c r="P305" i="4"/>
  <c r="L305" i="4" s="1"/>
  <c r="AA305" i="4" s="1"/>
  <c r="P292" i="4"/>
  <c r="L292" i="4" s="1"/>
  <c r="AA292" i="4" s="1"/>
  <c r="P300" i="4"/>
  <c r="L300" i="4" s="1"/>
  <c r="AA300" i="4" s="1"/>
  <c r="P304" i="4"/>
  <c r="L304" i="4" s="1"/>
  <c r="AA304" i="4" s="1"/>
  <c r="P306" i="4"/>
  <c r="L306" i="4" s="1"/>
  <c r="AA306" i="4" s="1"/>
  <c r="P290" i="4"/>
  <c r="L290" i="4" s="1"/>
  <c r="AA290" i="4" s="1"/>
  <c r="P298" i="4"/>
  <c r="L298" i="4" s="1"/>
  <c r="AA298" i="4" s="1"/>
  <c r="P296" i="4"/>
  <c r="L296" i="4" s="1"/>
  <c r="AA296" i="4" s="1"/>
  <c r="P302" i="4"/>
  <c r="L302" i="4" s="1"/>
  <c r="AA302" i="4" s="1"/>
  <c r="P301" i="4"/>
  <c r="L301" i="4" s="1"/>
  <c r="AA301" i="4" s="1"/>
  <c r="I59" i="3"/>
  <c r="P547" i="4"/>
  <c r="L547" i="4" s="1"/>
  <c r="AA547" i="4" s="1"/>
  <c r="P536" i="4"/>
  <c r="L536" i="4" s="1"/>
  <c r="AA536" i="4" s="1"/>
  <c r="P539" i="4"/>
  <c r="L539" i="4" s="1"/>
  <c r="AA539" i="4" s="1"/>
  <c r="P52" i="4"/>
  <c r="L52" i="4" s="1"/>
  <c r="AA52" i="4" s="1"/>
  <c r="P35" i="4"/>
  <c r="L35" i="4" s="1"/>
  <c r="AA35" i="4" s="1"/>
  <c r="I31" i="3"/>
  <c r="P456" i="4"/>
  <c r="L456" i="4" s="1"/>
  <c r="P25" i="4"/>
  <c r="L25" i="4" s="1"/>
  <c r="AA25" i="4" s="1"/>
  <c r="I54" i="3"/>
  <c r="P466" i="4"/>
  <c r="L466" i="4" s="1"/>
  <c r="AA466" i="4" s="1"/>
  <c r="P458" i="4"/>
  <c r="L458" i="4" s="1"/>
  <c r="AA458" i="4" s="1"/>
  <c r="P459" i="4"/>
  <c r="L459" i="4" s="1"/>
  <c r="AA459" i="4" s="1"/>
  <c r="P23" i="4"/>
  <c r="L23" i="4" s="1"/>
  <c r="AA23" i="4" s="1"/>
  <c r="I139" i="3"/>
  <c r="P463" i="4"/>
  <c r="L463" i="4" s="1"/>
  <c r="AA463" i="4" s="1"/>
  <c r="I13" i="3"/>
  <c r="P460" i="4"/>
  <c r="L460" i="4" s="1"/>
  <c r="AA460" i="4" s="1"/>
  <c r="I36" i="3"/>
  <c r="P542" i="4"/>
  <c r="L542" i="4" s="1"/>
  <c r="AA542" i="4" s="1"/>
  <c r="P541" i="4"/>
  <c r="L541" i="4" s="1"/>
  <c r="AA541" i="4" s="1"/>
  <c r="I88" i="3"/>
  <c r="P461" i="4"/>
  <c r="L461" i="4" s="1"/>
  <c r="AA461" i="4" s="1"/>
  <c r="P467" i="4"/>
  <c r="L467" i="4" s="1"/>
  <c r="AA467" i="4" s="1"/>
  <c r="I12" i="3"/>
  <c r="P9" i="4"/>
  <c r="L9" i="4" s="1"/>
  <c r="P83" i="4"/>
  <c r="L83" i="4" s="1"/>
  <c r="AA83" i="4" s="1"/>
  <c r="P299" i="4"/>
  <c r="L299" i="4" s="1"/>
  <c r="P297" i="4"/>
  <c r="L297" i="4" s="1"/>
  <c r="AA297" i="4" s="1"/>
  <c r="I110" i="3"/>
  <c r="P546" i="4"/>
  <c r="L546" i="4" s="1"/>
  <c r="AA546" i="4" s="1"/>
  <c r="I56" i="3"/>
  <c r="P471" i="4"/>
  <c r="L471" i="4" s="1"/>
  <c r="AA471" i="4" s="1"/>
  <c r="P22" i="4"/>
  <c r="L22" i="4" s="1"/>
  <c r="AA22" i="4" s="1"/>
  <c r="I71" i="3"/>
  <c r="P462" i="4"/>
  <c r="L462" i="4" s="1"/>
  <c r="AA462" i="4" s="1"/>
  <c r="P308" i="4"/>
  <c r="L308" i="4" s="1"/>
  <c r="AA308" i="4" s="1"/>
  <c r="P309" i="4"/>
  <c r="L309" i="4" s="1"/>
  <c r="AA309" i="4" s="1"/>
  <c r="P24" i="4"/>
  <c r="L24" i="4" s="1"/>
  <c r="AA24" i="4" s="1"/>
  <c r="P37" i="4"/>
  <c r="L37" i="4" s="1"/>
  <c r="AA37" i="4" s="1"/>
  <c r="G437" i="3"/>
  <c r="I302" i="3"/>
  <c r="P538" i="4"/>
  <c r="L538" i="4" s="1"/>
  <c r="AA538" i="4" s="1"/>
  <c r="P545" i="4"/>
  <c r="L545" i="4" s="1"/>
  <c r="AA545" i="4" s="1"/>
  <c r="P549" i="4"/>
  <c r="L549" i="4" s="1"/>
  <c r="AA549" i="4" s="1"/>
  <c r="P540" i="4"/>
  <c r="L540" i="4" s="1"/>
  <c r="AA540" i="4" s="1"/>
  <c r="P12" i="4"/>
  <c r="L12" i="4" s="1"/>
  <c r="I93" i="3"/>
  <c r="P550" i="4"/>
  <c r="L550" i="4" s="1"/>
  <c r="AA550" i="4" s="1"/>
  <c r="P537" i="4"/>
  <c r="L537" i="4" s="1"/>
  <c r="AA537" i="4" s="1"/>
  <c r="I15" i="3"/>
  <c r="P470" i="4"/>
  <c r="L470" i="4" s="1"/>
  <c r="AA470" i="4" s="1"/>
  <c r="P478" i="4"/>
  <c r="L478" i="4" s="1"/>
  <c r="AA478" i="4" s="1"/>
  <c r="P482" i="4"/>
  <c r="L482" i="4" s="1"/>
  <c r="AA482" i="4" s="1"/>
  <c r="P502" i="4"/>
  <c r="L502" i="4" s="1"/>
  <c r="AA502" i="4" s="1"/>
  <c r="P469" i="4"/>
  <c r="L469" i="4" s="1"/>
  <c r="AA469" i="4" s="1"/>
  <c r="P477" i="4"/>
  <c r="L477" i="4" s="1"/>
  <c r="AA477" i="4" s="1"/>
  <c r="P488" i="4"/>
  <c r="L488" i="4" s="1"/>
  <c r="AA488" i="4" s="1"/>
  <c r="P535" i="4"/>
  <c r="L535" i="4" s="1"/>
  <c r="P78" i="4"/>
  <c r="L78" i="4" s="1"/>
  <c r="AA78" i="4" s="1"/>
  <c r="I297" i="3"/>
  <c r="P465" i="4"/>
  <c r="L465" i="4" s="1"/>
  <c r="AA465" i="4" s="1"/>
  <c r="P464" i="4"/>
  <c r="L464" i="4" s="1"/>
  <c r="AA464" i="4" s="1"/>
  <c r="I254" i="3"/>
  <c r="P481" i="4"/>
  <c r="L481" i="4" s="1"/>
  <c r="AA481" i="4" s="1"/>
  <c r="P485" i="4"/>
  <c r="L485" i="4" s="1"/>
  <c r="AA485" i="4" s="1"/>
  <c r="P484" i="4"/>
  <c r="L484" i="4" s="1"/>
  <c r="AA484" i="4" s="1"/>
  <c r="P544" i="4"/>
  <c r="L544" i="4" s="1"/>
  <c r="AA544" i="4" s="1"/>
  <c r="K185" i="3"/>
  <c r="K110" i="3"/>
  <c r="K302" i="3"/>
  <c r="K93" i="3"/>
  <c r="K297" i="3"/>
  <c r="K56" i="3"/>
  <c r="K139" i="3"/>
  <c r="K54" i="3"/>
  <c r="K13" i="3"/>
  <c r="K71" i="3"/>
  <c r="K31" i="3"/>
  <c r="K338" i="3"/>
  <c r="K173" i="3"/>
  <c r="AA21" i="9"/>
  <c r="K39" i="3"/>
  <c r="K147" i="3"/>
  <c r="K320" i="3"/>
  <c r="K194" i="3"/>
  <c r="K62" i="3"/>
  <c r="K324" i="3"/>
  <c r="K307" i="3"/>
  <c r="K181" i="3"/>
  <c r="K107" i="3"/>
  <c r="K88" i="3"/>
  <c r="K277" i="3"/>
  <c r="K166" i="3"/>
  <c r="K267" i="3"/>
  <c r="K282" i="3"/>
  <c r="K156" i="3"/>
  <c r="K254" i="3"/>
  <c r="K15" i="3"/>
  <c r="K30" i="3"/>
  <c r="K12" i="3"/>
  <c r="I235" i="3"/>
  <c r="I409" i="3"/>
  <c r="I118" i="3"/>
  <c r="I237" i="3"/>
  <c r="P34" i="4"/>
  <c r="L34" i="4" s="1"/>
  <c r="AA34" i="4" s="1"/>
  <c r="I325" i="3"/>
  <c r="I214" i="3"/>
  <c r="I135" i="3"/>
  <c r="K237" i="3"/>
  <c r="G43" i="2"/>
  <c r="D112" i="8"/>
  <c r="G53" i="1" s="1"/>
  <c r="I51" i="2" s="1"/>
  <c r="K27" i="3"/>
  <c r="P260" i="4"/>
  <c r="L260" i="4" s="1"/>
  <c r="AA260" i="4" s="1"/>
  <c r="P251" i="4"/>
  <c r="L251" i="4" s="1"/>
  <c r="AA251" i="4" s="1"/>
  <c r="P248" i="4"/>
  <c r="L248" i="4" s="1"/>
  <c r="AA248" i="4" s="1"/>
  <c r="I101" i="3"/>
  <c r="I81" i="3"/>
  <c r="I152" i="3"/>
  <c r="I98" i="3"/>
  <c r="P374" i="4"/>
  <c r="L374" i="4" s="1"/>
  <c r="AA374" i="4" s="1"/>
  <c r="P257" i="4"/>
  <c r="L257" i="4" s="1"/>
  <c r="AA257" i="4" s="1"/>
  <c r="P356" i="4"/>
  <c r="L356" i="4" s="1"/>
  <c r="AA356" i="4" s="1"/>
  <c r="P270" i="4"/>
  <c r="L270" i="4" s="1"/>
  <c r="AA270" i="4" s="1"/>
  <c r="P263" i="4"/>
  <c r="L263" i="4" s="1"/>
  <c r="AA263" i="4" s="1"/>
  <c r="P353" i="4"/>
  <c r="L353" i="4" s="1"/>
  <c r="AA353" i="4" s="1"/>
  <c r="P355" i="4"/>
  <c r="L355" i="4" s="1"/>
  <c r="AA355" i="4" s="1"/>
  <c r="P339" i="4"/>
  <c r="L339" i="4" s="1"/>
  <c r="AA339" i="4" s="1"/>
  <c r="P262" i="4"/>
  <c r="L262" i="4" s="1"/>
  <c r="AA262" i="4" s="1"/>
  <c r="P259" i="4"/>
  <c r="L259" i="4" s="1"/>
  <c r="AA259" i="4" s="1"/>
  <c r="P247" i="4"/>
  <c r="L247" i="4" s="1"/>
  <c r="AA247" i="4" s="1"/>
  <c r="P368" i="4"/>
  <c r="L368" i="4" s="1"/>
  <c r="AA368" i="4" s="1"/>
  <c r="P376" i="4"/>
  <c r="L376" i="4" s="1"/>
  <c r="AA376" i="4" s="1"/>
  <c r="P373" i="4"/>
  <c r="L373" i="4" s="1"/>
  <c r="AA373" i="4" s="1"/>
  <c r="P375" i="4"/>
  <c r="L375" i="4" s="1"/>
  <c r="P336" i="4"/>
  <c r="L336" i="4" s="1"/>
  <c r="AA336" i="4" s="1"/>
  <c r="P333" i="4"/>
  <c r="L333" i="4" s="1"/>
  <c r="AA333" i="4" s="1"/>
  <c r="P345" i="4"/>
  <c r="L345" i="4" s="1"/>
  <c r="AA345" i="4" s="1"/>
  <c r="P370" i="4"/>
  <c r="L370" i="4" s="1"/>
  <c r="AA370" i="4" s="1"/>
  <c r="P372" i="4"/>
  <c r="L372" i="4" s="1"/>
  <c r="AA372" i="4" s="1"/>
  <c r="P340" i="4"/>
  <c r="L340" i="4" s="1"/>
  <c r="AA340" i="4" s="1"/>
  <c r="P358" i="4"/>
  <c r="L358" i="4" s="1"/>
  <c r="AA358" i="4" s="1"/>
  <c r="P337" i="4"/>
  <c r="L337" i="4" s="1"/>
  <c r="AA337" i="4" s="1"/>
  <c r="P335" i="4"/>
  <c r="L335" i="4" s="1"/>
  <c r="AA335" i="4" s="1"/>
  <c r="P258" i="4"/>
  <c r="L258" i="4" s="1"/>
  <c r="AA258" i="4" s="1"/>
  <c r="P249" i="4"/>
  <c r="L249" i="4" s="1"/>
  <c r="AA249" i="4" s="1"/>
  <c r="P344" i="4"/>
  <c r="L344" i="4" s="1"/>
  <c r="AA344" i="4" s="1"/>
  <c r="K191" i="3"/>
  <c r="K59" i="3"/>
  <c r="K36" i="3"/>
  <c r="K19" i="3"/>
  <c r="K257" i="3"/>
  <c r="K144" i="3"/>
  <c r="K262" i="3"/>
  <c r="I248" i="3"/>
  <c r="I116" i="3"/>
  <c r="K198" i="3"/>
  <c r="K151" i="3"/>
  <c r="K134" i="3"/>
  <c r="K100" i="3"/>
  <c r="K83" i="3"/>
  <c r="F48" i="3"/>
  <c r="F47" i="3"/>
  <c r="G231" i="3"/>
  <c r="I231" i="3" s="1"/>
  <c r="I24" i="3"/>
  <c r="E47" i="3"/>
  <c r="I42" i="3"/>
  <c r="I82" i="3"/>
  <c r="I322" i="3"/>
  <c r="P291" i="4"/>
  <c r="L291" i="4" s="1"/>
  <c r="AA291" i="4" s="1"/>
  <c r="E49" i="3"/>
  <c r="E46" i="3"/>
  <c r="I41" i="3"/>
  <c r="I233" i="3"/>
  <c r="P77" i="4"/>
  <c r="L77" i="4" s="1"/>
  <c r="AA77" i="4" s="1"/>
  <c r="P266" i="4"/>
  <c r="L266" i="4" s="1"/>
  <c r="AA266" i="4" s="1"/>
  <c r="P138" i="4"/>
  <c r="L138" i="4" s="1"/>
  <c r="AA138" i="4" s="1"/>
  <c r="P123" i="4"/>
  <c r="L123" i="4" s="1"/>
  <c r="AA123" i="4" s="1"/>
  <c r="P32" i="4"/>
  <c r="L32" i="4" s="1"/>
  <c r="AA32" i="4" s="1"/>
  <c r="P88" i="4"/>
  <c r="L88" i="4" s="1"/>
  <c r="AA88" i="4" s="1"/>
  <c r="P276" i="4"/>
  <c r="L276" i="4" s="1"/>
  <c r="AA276" i="4" s="1"/>
  <c r="P94" i="4"/>
  <c r="L94" i="4" s="1"/>
  <c r="AA94" i="4" s="1"/>
  <c r="P46" i="4"/>
  <c r="L46" i="4" s="1"/>
  <c r="AA46" i="4" s="1"/>
  <c r="P268" i="4"/>
  <c r="L268" i="4" s="1"/>
  <c r="AA268" i="4" s="1"/>
  <c r="P73" i="4"/>
  <c r="L73" i="4" s="1"/>
  <c r="P38" i="4"/>
  <c r="L38" i="4" s="1"/>
  <c r="AA38" i="4" s="1"/>
  <c r="P218" i="4"/>
  <c r="L218" i="4" s="1"/>
  <c r="AA218" i="4" s="1"/>
  <c r="P19" i="4"/>
  <c r="L19" i="4" s="1"/>
  <c r="AA19" i="4" s="1"/>
  <c r="P36" i="4"/>
  <c r="L36" i="4" s="1"/>
  <c r="AA36" i="4" s="1"/>
  <c r="P28" i="4"/>
  <c r="L28" i="4" s="1"/>
  <c r="AA28" i="4" s="1"/>
  <c r="P193" i="4"/>
  <c r="L193" i="4" s="1"/>
  <c r="AA193" i="4" s="1"/>
  <c r="P49" i="4"/>
  <c r="L49" i="4" s="1"/>
  <c r="AA49" i="4" s="1"/>
  <c r="P244" i="4"/>
  <c r="L244" i="4" s="1"/>
  <c r="AA244" i="4" s="1"/>
  <c r="I99" i="3"/>
  <c r="I17" i="3"/>
  <c r="P134" i="4"/>
  <c r="L134" i="4" s="1"/>
  <c r="AA134" i="4" s="1"/>
  <c r="P131" i="4"/>
  <c r="L131" i="4" s="1"/>
  <c r="AA131" i="4" s="1"/>
  <c r="P116" i="4"/>
  <c r="L116" i="4" s="1"/>
  <c r="AA116" i="4" s="1"/>
  <c r="P90" i="4"/>
  <c r="L90" i="4" s="1"/>
  <c r="AA90" i="4" s="1"/>
  <c r="P137" i="4"/>
  <c r="L137" i="4" s="1"/>
  <c r="AA137" i="4" s="1"/>
  <c r="P154" i="4"/>
  <c r="L154" i="4" s="1"/>
  <c r="AA154" i="4" s="1"/>
  <c r="P97" i="4"/>
  <c r="L97" i="4" s="1"/>
  <c r="AA97" i="4" s="1"/>
  <c r="P45" i="4"/>
  <c r="L45" i="4" s="1"/>
  <c r="AA45" i="4" s="1"/>
  <c r="P253" i="4"/>
  <c r="L253" i="4" s="1"/>
  <c r="AA253" i="4" s="1"/>
  <c r="P237" i="4"/>
  <c r="L237" i="4" s="1"/>
  <c r="AA237" i="4" s="1"/>
  <c r="P99" i="4"/>
  <c r="L99" i="4" s="1"/>
  <c r="AA99" i="4" s="1"/>
  <c r="P115" i="4"/>
  <c r="L115" i="4" s="1"/>
  <c r="AA115" i="4" s="1"/>
  <c r="P76" i="4"/>
  <c r="L76" i="4" s="1"/>
  <c r="AA76" i="4" s="1"/>
  <c r="P13" i="4"/>
  <c r="L13" i="4" s="1"/>
  <c r="AA13" i="4" s="1"/>
  <c r="P14" i="4"/>
  <c r="L14" i="4" s="1"/>
  <c r="AA14" i="4" s="1"/>
  <c r="F50" i="3"/>
  <c r="I50" i="3" s="1"/>
  <c r="K233" i="3"/>
  <c r="K26" i="3"/>
  <c r="K43" i="3"/>
  <c r="K66" i="3"/>
  <c r="K117" i="3"/>
  <c r="K132" i="3"/>
  <c r="K24" i="3"/>
  <c r="K99" i="3"/>
  <c r="K115" i="3"/>
  <c r="K116" i="3"/>
  <c r="K17" i="3"/>
  <c r="K65" i="3"/>
  <c r="K322" i="3"/>
  <c r="K232" i="3"/>
  <c r="K47" i="3"/>
  <c r="K41" i="3"/>
  <c r="K133" i="3"/>
  <c r="K280" i="3"/>
  <c r="K64" i="3"/>
  <c r="K42" i="3"/>
  <c r="K98" i="3"/>
  <c r="K235" i="3"/>
  <c r="K81" i="3"/>
  <c r="K229" i="3"/>
  <c r="K228" i="3"/>
  <c r="K45" i="3"/>
  <c r="K149" i="3"/>
  <c r="K49" i="3"/>
  <c r="K135" i="3"/>
  <c r="K196" i="3"/>
  <c r="K67" i="3"/>
  <c r="K480" i="3"/>
  <c r="K25" i="3"/>
  <c r="K150" i="3"/>
  <c r="K82" i="3"/>
  <c r="O25" i="9"/>
  <c r="Y45" i="9"/>
  <c r="G74" i="1" s="1"/>
  <c r="J25" i="9"/>
  <c r="E25" i="9"/>
  <c r="E6" i="14" l="1"/>
  <c r="AE25" i="9"/>
  <c r="D15" i="14" s="1"/>
  <c r="E15" i="14" s="1"/>
  <c r="I48" i="3"/>
  <c r="Q72" i="4"/>
  <c r="M72" i="4" s="1"/>
  <c r="AA72" i="4" s="1"/>
  <c r="Q57" i="4"/>
  <c r="M57" i="4" s="1"/>
  <c r="AA57" i="4" s="1"/>
  <c r="Q58" i="4"/>
  <c r="M58" i="4" s="1"/>
  <c r="AA58" i="4" s="1"/>
  <c r="Q216" i="4"/>
  <c r="M216" i="4" s="1"/>
  <c r="AA216" i="4" s="1"/>
  <c r="Q162" i="4"/>
  <c r="M162" i="4" s="1"/>
  <c r="AA162" i="4" s="1"/>
  <c r="Q167" i="4"/>
  <c r="M167" i="4" s="1"/>
  <c r="AA167" i="4" s="1"/>
  <c r="Q217" i="4"/>
  <c r="M217" i="4" s="1"/>
  <c r="AA217" i="4" s="1"/>
  <c r="Q163" i="4"/>
  <c r="M163" i="4" s="1"/>
  <c r="AA163" i="4" s="1"/>
  <c r="Q215" i="4"/>
  <c r="M215" i="4" s="1"/>
  <c r="AA215" i="4" s="1"/>
  <c r="Q73" i="4"/>
  <c r="M73" i="4" s="1"/>
  <c r="AA73" i="4" s="1"/>
  <c r="Q164" i="4"/>
  <c r="M164" i="4" s="1"/>
  <c r="AA164" i="4" s="1"/>
  <c r="I67" i="3"/>
  <c r="Q108" i="4"/>
  <c r="M108" i="4" s="1"/>
  <c r="AA108" i="4" s="1"/>
  <c r="Q106" i="4"/>
  <c r="M106" i="4" s="1"/>
  <c r="AA106" i="4" s="1"/>
  <c r="Q107" i="4"/>
  <c r="M107" i="4" s="1"/>
  <c r="AA107" i="4" s="1"/>
  <c r="Q85" i="4"/>
  <c r="M85" i="4" s="1"/>
  <c r="AA85" i="4" s="1"/>
  <c r="Q50" i="4"/>
  <c r="M50" i="4" s="1"/>
  <c r="AA50" i="4" s="1"/>
  <c r="B6" i="14"/>
  <c r="C6" i="14" s="1"/>
  <c r="AA9" i="4"/>
  <c r="AA289" i="4"/>
  <c r="AA456" i="4"/>
  <c r="AA12" i="4"/>
  <c r="AA375" i="4"/>
  <c r="AA299" i="4"/>
  <c r="AA535" i="4"/>
  <c r="H34" i="14"/>
  <c r="I34" i="14"/>
  <c r="J36" i="9"/>
  <c r="AA25" i="9"/>
  <c r="AA34" i="9"/>
  <c r="AC34" i="9" s="1"/>
  <c r="AA32" i="9"/>
  <c r="AA41" i="9"/>
  <c r="AC41" i="9" s="1"/>
  <c r="AA23" i="9"/>
  <c r="AA35" i="9"/>
  <c r="AC35" i="9" s="1"/>
  <c r="AA28" i="9"/>
  <c r="AA27" i="9"/>
  <c r="AC27" i="9" s="1"/>
  <c r="AA20" i="9"/>
  <c r="AC20" i="9" s="1"/>
  <c r="C12" i="1"/>
  <c r="E38" i="1"/>
  <c r="E37" i="2" s="1"/>
  <c r="P31" i="4"/>
  <c r="L31" i="4" s="1"/>
  <c r="P240" i="4"/>
  <c r="L240" i="4" s="1"/>
  <c r="P62" i="4"/>
  <c r="L62" i="4" s="1"/>
  <c r="P165" i="4"/>
  <c r="L165" i="4" s="1"/>
  <c r="P241" i="4"/>
  <c r="L241" i="4" s="1"/>
  <c r="P195" i="4"/>
  <c r="L195" i="4" s="1"/>
  <c r="P214" i="4"/>
  <c r="L214" i="4" s="1"/>
  <c r="P273" i="4"/>
  <c r="L273" i="4" s="1"/>
  <c r="P122" i="4"/>
  <c r="L122" i="4" s="1"/>
  <c r="P168" i="4"/>
  <c r="L168" i="4" s="1"/>
  <c r="P194" i="4"/>
  <c r="L194" i="4" s="1"/>
  <c r="P166" i="4"/>
  <c r="L166" i="4" s="1"/>
  <c r="P121" i="4"/>
  <c r="L121" i="4" s="1"/>
  <c r="P29" i="4"/>
  <c r="L29" i="4" s="1"/>
  <c r="P213" i="4"/>
  <c r="L213" i="4" s="1"/>
  <c r="P265" i="4"/>
  <c r="L265" i="4" s="1"/>
  <c r="P272" i="4"/>
  <c r="L272" i="4" s="1"/>
  <c r="P363" i="4"/>
  <c r="L363" i="4" s="1"/>
  <c r="P349" i="4"/>
  <c r="L349" i="4" s="1"/>
  <c r="F49" i="3"/>
  <c r="I49" i="3" s="1"/>
  <c r="P359" i="4"/>
  <c r="L359" i="4" s="1"/>
  <c r="P365" i="4"/>
  <c r="L365" i="4" s="1"/>
  <c r="P362" i="4"/>
  <c r="L362" i="4" s="1"/>
  <c r="P350" i="4"/>
  <c r="L350" i="4" s="1"/>
  <c r="P348" i="4"/>
  <c r="L348" i="4" s="1"/>
  <c r="P367" i="4"/>
  <c r="L367" i="4" s="1"/>
  <c r="P361" i="4"/>
  <c r="L361" i="4" s="1"/>
  <c r="P360" i="4"/>
  <c r="L360" i="4" s="1"/>
  <c r="P371" i="4"/>
  <c r="L371" i="4" s="1"/>
  <c r="P351" i="4"/>
  <c r="L351" i="4" s="1"/>
  <c r="P347" i="4"/>
  <c r="L347" i="4" s="1"/>
  <c r="P346" i="4"/>
  <c r="L346" i="4" s="1"/>
  <c r="P366" i="4"/>
  <c r="L366" i="4" s="1"/>
  <c r="P364" i="4"/>
  <c r="L364" i="4" s="1"/>
  <c r="I47" i="3"/>
  <c r="F46" i="3"/>
  <c r="K482" i="3"/>
  <c r="J27" i="9"/>
  <c r="E27" i="9"/>
  <c r="O27" i="9"/>
  <c r="AE27" i="9" l="1"/>
  <c r="D17" i="14" s="1"/>
  <c r="E17" i="14" s="1"/>
  <c r="I35" i="14"/>
  <c r="A43" i="14" s="1"/>
  <c r="J38" i="9"/>
  <c r="Q240" i="4"/>
  <c r="M240" i="4" s="1"/>
  <c r="AA240" i="4" s="1"/>
  <c r="Q214" i="4"/>
  <c r="M214" i="4" s="1"/>
  <c r="AA214" i="4" s="1"/>
  <c r="Q168" i="4"/>
  <c r="M168" i="4" s="1"/>
  <c r="AA168" i="4" s="1"/>
  <c r="Q273" i="4"/>
  <c r="M273" i="4" s="1"/>
  <c r="AA273" i="4" s="1"/>
  <c r="Q194" i="4"/>
  <c r="M194" i="4" s="1"/>
  <c r="AA194" i="4" s="1"/>
  <c r="Q31" i="4"/>
  <c r="M31" i="4" s="1"/>
  <c r="AA31" i="4" s="1"/>
  <c r="Q265" i="4"/>
  <c r="M265" i="4" s="1"/>
  <c r="AA265" i="4" s="1"/>
  <c r="Q213" i="4"/>
  <c r="M213" i="4" s="1"/>
  <c r="AA213" i="4" s="1"/>
  <c r="Q166" i="4"/>
  <c r="M166" i="4" s="1"/>
  <c r="AA166" i="4" s="1"/>
  <c r="Q121" i="4"/>
  <c r="M121" i="4" s="1"/>
  <c r="AA121" i="4" s="1"/>
  <c r="Q241" i="4"/>
  <c r="M241" i="4" s="1"/>
  <c r="AA241" i="4" s="1"/>
  <c r="Q195" i="4"/>
  <c r="M195" i="4" s="1"/>
  <c r="AA195" i="4" s="1"/>
  <c r="Q122" i="4"/>
  <c r="M122" i="4" s="1"/>
  <c r="AA122" i="4" s="1"/>
  <c r="Q272" i="4"/>
  <c r="M272" i="4" s="1"/>
  <c r="AA272" i="4" s="1"/>
  <c r="Q29" i="4"/>
  <c r="M29" i="4" s="1"/>
  <c r="AA29" i="4" s="1"/>
  <c r="AC28" i="9"/>
  <c r="Q165" i="4"/>
  <c r="M165" i="4" s="1"/>
  <c r="AA165" i="4" s="1"/>
  <c r="Q62" i="4"/>
  <c r="M62" i="4" s="1"/>
  <c r="AA62" i="4" s="1"/>
  <c r="Q366" i="4"/>
  <c r="M366" i="4" s="1"/>
  <c r="AA366" i="4" s="1"/>
  <c r="Q350" i="4"/>
  <c r="M350" i="4" s="1"/>
  <c r="AA350" i="4" s="1"/>
  <c r="Q361" i="4"/>
  <c r="M361" i="4" s="1"/>
  <c r="AA361" i="4" s="1"/>
  <c r="Q364" i="4"/>
  <c r="M364" i="4" s="1"/>
  <c r="AA364" i="4" s="1"/>
  <c r="Q348" i="4"/>
  <c r="M348" i="4" s="1"/>
  <c r="AA348" i="4" s="1"/>
  <c r="Q367" i="4"/>
  <c r="M367" i="4" s="1"/>
  <c r="AA367" i="4" s="1"/>
  <c r="Q359" i="4"/>
  <c r="M359" i="4" s="1"/>
  <c r="AA359" i="4" s="1"/>
  <c r="Q351" i="4"/>
  <c r="M351" i="4" s="1"/>
  <c r="AA351" i="4" s="1"/>
  <c r="Q362" i="4"/>
  <c r="M362" i="4" s="1"/>
  <c r="AA362" i="4" s="1"/>
  <c r="Q346" i="4"/>
  <c r="M346" i="4" s="1"/>
  <c r="AA346" i="4" s="1"/>
  <c r="Q365" i="4"/>
  <c r="M365" i="4" s="1"/>
  <c r="AA365" i="4" s="1"/>
  <c r="Q349" i="4"/>
  <c r="M349" i="4" s="1"/>
  <c r="AA349" i="4" s="1"/>
  <c r="Q360" i="4"/>
  <c r="M360" i="4" s="1"/>
  <c r="AA360" i="4" s="1"/>
  <c r="Q371" i="4"/>
  <c r="M371" i="4" s="1"/>
  <c r="AA371" i="4" s="1"/>
  <c r="Q363" i="4"/>
  <c r="M363" i="4" s="1"/>
  <c r="AA363" i="4" s="1"/>
  <c r="Q347" i="4"/>
  <c r="M347" i="4" s="1"/>
  <c r="AA347" i="4" s="1"/>
  <c r="AC32" i="9"/>
  <c r="AC25" i="9"/>
  <c r="I46" i="3"/>
  <c r="J29" i="9"/>
  <c r="E21" i="2" l="1"/>
  <c r="AA19" i="9"/>
  <c r="AC19" i="9" s="1"/>
  <c r="AA29" i="9"/>
  <c r="AC29" i="9" s="1"/>
  <c r="AA17" i="9"/>
  <c r="AA18" i="9"/>
  <c r="AC18" i="9" s="1"/>
  <c r="E22" i="1"/>
  <c r="AC23" i="9"/>
  <c r="AC21" i="9"/>
  <c r="AC31" i="9"/>
  <c r="AC30" i="9"/>
  <c r="C38" i="1"/>
  <c r="AA16" i="9"/>
  <c r="AC16" i="9" s="1"/>
  <c r="J28" i="9"/>
  <c r="B34" i="14" l="1"/>
  <c r="B36" i="14" s="1"/>
  <c r="AA553" i="4"/>
  <c r="AA554" i="4" s="1"/>
  <c r="J4" i="3" s="1"/>
  <c r="G51" i="2"/>
  <c r="C27" i="1"/>
  <c r="E50" i="1"/>
  <c r="E48" i="2" s="1"/>
  <c r="G22" i="1"/>
  <c r="C50" i="1"/>
  <c r="AC17" i="9"/>
  <c r="AC45" i="9" s="1"/>
  <c r="AA45" i="9"/>
  <c r="J30" i="9"/>
  <c r="E27" i="1" l="1"/>
  <c r="E26" i="2" s="1"/>
  <c r="E49" i="2"/>
  <c r="C11" i="2"/>
  <c r="J31" i="9"/>
  <c r="F48" i="2" l="1"/>
  <c r="G48" i="2" s="1"/>
  <c r="G50" i="1"/>
  <c r="G38" i="1"/>
  <c r="F37" i="2"/>
  <c r="G37" i="2" s="1"/>
  <c r="F21" i="2"/>
  <c r="G21" i="2" s="1"/>
  <c r="J32" i="9"/>
  <c r="G45" i="1" l="1"/>
  <c r="G23" i="1"/>
  <c r="G33" i="1"/>
  <c r="G22" i="2"/>
  <c r="F26" i="2"/>
  <c r="G26" i="2" s="1"/>
  <c r="G27" i="2" s="1"/>
  <c r="G27" i="1"/>
  <c r="G32" i="2"/>
  <c r="G65" i="2"/>
  <c r="F65" i="2" s="1"/>
  <c r="E65" i="2" s="1"/>
  <c r="J33" i="9"/>
  <c r="G63" i="2" s="1"/>
  <c r="F63" i="2" s="1"/>
  <c r="E63" i="2" s="1"/>
  <c r="G28" i="1" l="1"/>
  <c r="I23" i="1"/>
  <c r="G49" i="2"/>
  <c r="G51" i="1"/>
  <c r="G46" i="1"/>
  <c r="G44" i="2"/>
  <c r="G33" i="2"/>
  <c r="G39" i="1"/>
  <c r="G38" i="2"/>
  <c r="G34" i="1"/>
  <c r="J34" i="9"/>
  <c r="E22" i="10" l="1"/>
  <c r="F22" i="10" s="1"/>
  <c r="E21" i="10"/>
  <c r="F21" i="10" s="1"/>
  <c r="C10" i="2"/>
  <c r="F13" i="2" s="1"/>
  <c r="E20" i="10"/>
  <c r="F20" i="10" s="1"/>
  <c r="E19" i="10"/>
  <c r="F19" i="10" s="1"/>
  <c r="E18" i="10"/>
  <c r="F18" i="10" s="1"/>
  <c r="AD38" i="9"/>
  <c r="AD22" i="9"/>
  <c r="AD26" i="9"/>
  <c r="AD24" i="9"/>
  <c r="AD36" i="9"/>
  <c r="G56" i="1"/>
  <c r="G57" i="1" s="1"/>
  <c r="G58" i="1" s="1"/>
  <c r="C11" i="1"/>
  <c r="AD19" i="9"/>
  <c r="AD18" i="9"/>
  <c r="AD23" i="9"/>
  <c r="AD34" i="9"/>
  <c r="AD41" i="9"/>
  <c r="AD32" i="9"/>
  <c r="AD43" i="9"/>
  <c r="AD28" i="9"/>
  <c r="AD37" i="9"/>
  <c r="AD27" i="9"/>
  <c r="AD39" i="9"/>
  <c r="AD40" i="9"/>
  <c r="AD29" i="9"/>
  <c r="AD30" i="9"/>
  <c r="AD20" i="9"/>
  <c r="AD16" i="9"/>
  <c r="AD33" i="9"/>
  <c r="AD21" i="9"/>
  <c r="AD35" i="9"/>
  <c r="AD31" i="9"/>
  <c r="AD17" i="9"/>
  <c r="AD25" i="9"/>
  <c r="AD42" i="9"/>
  <c r="G55" i="2"/>
  <c r="G56" i="2" s="1"/>
  <c r="G57" i="2" s="1"/>
  <c r="J35" i="9"/>
  <c r="F50" i="10" l="1"/>
  <c r="C12" i="2"/>
  <c r="AD45" i="9"/>
  <c r="C13" i="1" s="1"/>
  <c r="J37" i="9"/>
  <c r="G60" i="1" l="1"/>
  <c r="G61" i="1" s="1"/>
  <c r="G62" i="1" s="1"/>
  <c r="A44" i="14"/>
  <c r="J39" i="9"/>
  <c r="J40" i="9" l="1"/>
  <c r="J41" i="9" l="1"/>
  <c r="J42" i="9" l="1"/>
  <c r="J43" i="9" l="1"/>
  <c r="T45" i="9" l="1"/>
  <c r="G70" i="1" s="1"/>
  <c r="J45" i="9"/>
  <c r="G68" i="1" s="1"/>
  <c r="I45" i="9"/>
  <c r="E28" i="9"/>
  <c r="E29" i="9"/>
  <c r="N28" i="9"/>
  <c r="O28" i="9" s="1"/>
  <c r="G62" i="2"/>
  <c r="G64" i="2"/>
  <c r="F64" i="2" s="1"/>
  <c r="E64" i="2" s="1"/>
  <c r="AE28" i="9" l="1"/>
  <c r="D18" i="14" s="1"/>
  <c r="N29" i="9"/>
  <c r="O29" i="9" s="1"/>
  <c r="AE29" i="9" s="1"/>
  <c r="D19" i="14" s="1"/>
  <c r="E19" i="14" s="1"/>
  <c r="G71" i="2"/>
  <c r="C13" i="2" s="1"/>
  <c r="C14" i="2" s="1"/>
  <c r="E13" i="2" s="1"/>
  <c r="E30" i="9"/>
  <c r="F62" i="2"/>
  <c r="E62" i="2" s="1"/>
  <c r="E18" i="14" l="1"/>
  <c r="N30" i="9"/>
  <c r="O30" i="9" s="1"/>
  <c r="AE30" i="9" s="1"/>
  <c r="D20" i="14" s="1"/>
  <c r="E20" i="14" s="1"/>
  <c r="G72" i="2"/>
  <c r="G73" i="2" s="1"/>
  <c r="N31" i="9"/>
  <c r="E31" i="9"/>
  <c r="N32" i="9" l="1"/>
  <c r="O31" i="9"/>
  <c r="AE31" i="9" s="1"/>
  <c r="D21" i="14" s="1"/>
  <c r="E32" i="9"/>
  <c r="E21" i="14" l="1"/>
  <c r="O32" i="9"/>
  <c r="AE32" i="9" s="1"/>
  <c r="D22" i="14" s="1"/>
  <c r="E22" i="14" s="1"/>
  <c r="N33" i="9"/>
  <c r="E33" i="9"/>
  <c r="O33" i="9" l="1"/>
  <c r="AE33" i="9" s="1"/>
  <c r="D23" i="14" s="1"/>
  <c r="E23" i="14" s="1"/>
  <c r="N34" i="9"/>
  <c r="E34" i="9"/>
  <c r="O34" i="9" l="1"/>
  <c r="AE34" i="9" s="1"/>
  <c r="D24" i="14" s="1"/>
  <c r="E24" i="14" s="1"/>
  <c r="N36" i="9"/>
  <c r="N35" i="9"/>
  <c r="E35" i="9"/>
  <c r="O35" i="9" l="1"/>
  <c r="AE35" i="9" s="1"/>
  <c r="D25" i="14" s="1"/>
  <c r="E25" i="14" s="1"/>
  <c r="N37" i="9"/>
  <c r="N38" i="9"/>
  <c r="O38" i="9" s="1"/>
  <c r="O36" i="9"/>
  <c r="E36" i="9"/>
  <c r="AE36" i="9" l="1"/>
  <c r="D26" i="14" s="1"/>
  <c r="E26" i="14" s="1"/>
  <c r="O37" i="9"/>
  <c r="N39" i="9"/>
  <c r="E37" i="9"/>
  <c r="AE37" i="9" l="1"/>
  <c r="D27" i="14" s="1"/>
  <c r="E27" i="14" s="1"/>
  <c r="N40" i="9"/>
  <c r="O39" i="9"/>
  <c r="E38" i="9"/>
  <c r="AE38" i="9" s="1"/>
  <c r="D28" i="14" s="1"/>
  <c r="E28" i="14" s="1"/>
  <c r="O40" i="9" l="1"/>
  <c r="N41" i="9"/>
  <c r="E39" i="9"/>
  <c r="AE39" i="9" s="1"/>
  <c r="D29" i="14" s="1"/>
  <c r="E29" i="14" s="1"/>
  <c r="O41" i="9" l="1"/>
  <c r="N42" i="9"/>
  <c r="E40" i="9"/>
  <c r="AE40" i="9" s="1"/>
  <c r="D30" i="14" s="1"/>
  <c r="E30" i="14" s="1"/>
  <c r="O42" i="9" l="1"/>
  <c r="N43" i="9"/>
  <c r="E41" i="9"/>
  <c r="AE41" i="9" s="1"/>
  <c r="D31" i="14" s="1"/>
  <c r="E31" i="14" l="1"/>
  <c r="D34" i="14"/>
  <c r="E34" i="14"/>
  <c r="O43" i="9"/>
  <c r="E42" i="9"/>
  <c r="AE42" i="9" s="1"/>
  <c r="E43" i="9" l="1"/>
  <c r="AE43" i="9" s="1"/>
  <c r="O45" i="9" l="1"/>
  <c r="G69" i="1" s="1"/>
  <c r="N45" i="9"/>
  <c r="E45" i="9"/>
  <c r="G67" i="1" s="1"/>
  <c r="G76" i="1" l="1"/>
  <c r="A42" i="14" s="1"/>
  <c r="A45" i="14" s="1"/>
  <c r="G77" i="1" l="1"/>
  <c r="G78" i="1" s="1"/>
  <c r="C14" i="1"/>
  <c r="C15" i="1" s="1"/>
</calcChain>
</file>

<file path=xl/sharedStrings.xml><?xml version="1.0" encoding="utf-8"?>
<sst xmlns="http://schemas.openxmlformats.org/spreadsheetml/2006/main" count="4885" uniqueCount="722">
  <si>
    <t>Naam opdrachtgever</t>
  </si>
  <si>
    <t>Gemeente Fryske Marren</t>
  </si>
  <si>
    <t>Calculatie onderdeel</t>
  </si>
  <si>
    <t>Contractblad jaarprijs Totaal</t>
  </si>
  <si>
    <t>Gebouw/plaats</t>
  </si>
  <si>
    <t>Totaal</t>
  </si>
  <si>
    <t>Berekening prijsverhogingen:</t>
  </si>
  <si>
    <t>Besteknummer</t>
  </si>
  <si>
    <t>Calculatie-GFM -2026.01 (prijspeil 1-1-2027)</t>
  </si>
  <si>
    <t>Naam leverancier</t>
  </si>
  <si>
    <t>Vaste calculatie</t>
  </si>
  <si>
    <t>Jaar</t>
  </si>
  <si>
    <t>%</t>
  </si>
  <si>
    <t>Prijspeil</t>
  </si>
  <si>
    <t>Niets invullen alleen contractbeheerder</t>
  </si>
  <si>
    <t>Bijzonderheden</t>
  </si>
  <si>
    <t>Vertrouwelijk</t>
  </si>
  <si>
    <t>Jaarprijs schoonmaak excl. btw</t>
  </si>
  <si>
    <t>Machine kosten excl. btw</t>
  </si>
  <si>
    <t>Kleinschaligheid toeslag excl. btw</t>
  </si>
  <si>
    <t>Jaarprijs glas excl. btw</t>
  </si>
  <si>
    <t>JAARPRIJS SCHOONMAAK</t>
  </si>
  <si>
    <t>Aantal uren per jaar</t>
  </si>
  <si>
    <t>Tarief</t>
  </si>
  <si>
    <t>Prijs per jaar</t>
  </si>
  <si>
    <t>PRODUCTIE-UREN MAANDAG-VRIJDAG</t>
  </si>
  <si>
    <t>Gemiddeld uurloon productie</t>
  </si>
  <si>
    <t xml:space="preserve">06:00-21:30 uur maan-/vrijdag </t>
  </si>
  <si>
    <t>Gemiddeld tarief</t>
  </si>
  <si>
    <t>TOEZICHT-UREN MAANDAG-VRIJDAG</t>
  </si>
  <si>
    <t>Uren per dag</t>
  </si>
  <si>
    <t>Aantal dagen per jaar</t>
  </si>
  <si>
    <t>Percentage</t>
  </si>
  <si>
    <t>Gemiddeld uurloon toezicht</t>
  </si>
  <si>
    <t>Uren per jaar hier invullen</t>
  </si>
  <si>
    <t>PRODUCTIE-UREN zater- en zondagen</t>
  </si>
  <si>
    <t xml:space="preserve">06:00-21:30 uur zater- en zondagen </t>
  </si>
  <si>
    <t>TOEZICHT-UREN zater- en zondagen</t>
  </si>
  <si>
    <t>PRODUCTIE-UREN feestdagen</t>
  </si>
  <si>
    <t xml:space="preserve">06:00-21:30 uur feestdagen </t>
  </si>
  <si>
    <t>TOEZICHT-UREN feestdagen</t>
  </si>
  <si>
    <t>MACHINEKOSTEN [zie blad machine investeringen voor kostenopbouw]</t>
  </si>
  <si>
    <t>uitgesloten van prijsverhogingen</t>
  </si>
  <si>
    <t>TOTAAL KOSTEN PER JAAR EXCLUSIEF BTW</t>
  </si>
  <si>
    <t>B.T.W.</t>
  </si>
  <si>
    <t>Totale kosten per jaar inclusief B.T.W.</t>
  </si>
  <si>
    <t xml:space="preserve"> </t>
  </si>
  <si>
    <t>Additionele kosten</t>
  </si>
  <si>
    <t>JAARPRIJS GLASBEWASSING</t>
  </si>
  <si>
    <t>Gevelglas buitenzijde</t>
  </si>
  <si>
    <t>Gevelglas binnenzijde</t>
  </si>
  <si>
    <t>Separatieglas tweezijdig gemeten</t>
  </si>
  <si>
    <t>Entreeglas</t>
  </si>
  <si>
    <t>ARBEIDSMIDDELEN</t>
  </si>
  <si>
    <t>Zie 8-Glasbewassing voor opbouw</t>
  </si>
  <si>
    <t>Contractblad jaarprijs Totaal per locatie</t>
  </si>
  <si>
    <t>Locatie:</t>
  </si>
  <si>
    <t>Gemeentehuis Heremastate 1</t>
  </si>
  <si>
    <t>Kleinschaligheid toeslag</t>
  </si>
  <si>
    <t>Machinekosten totaal -/- totaal productie uren X productie uren locatie.</t>
  </si>
  <si>
    <t>MACHINEKOSTEN zijn op basis van totaalkosten evenredig verdeeld op basis van productie uren.</t>
  </si>
  <si>
    <t>Frequentie</t>
  </si>
  <si>
    <t>m2</t>
  </si>
  <si>
    <t>tarief</t>
  </si>
  <si>
    <t>Prijs per beurt</t>
  </si>
  <si>
    <t xml:space="preserve">Separatieglas tweezijdig gemeten </t>
  </si>
  <si>
    <t>DAGELIJKS SCHOONMAAKONDERHOUD</t>
  </si>
  <si>
    <t>PERIODIEKE SCHOONMAAKONDERHOUD</t>
  </si>
  <si>
    <t>Percentage uren dagelijkse schoonmaak:</t>
  </si>
  <si>
    <t>Totaal m2</t>
  </si>
  <si>
    <t>Locaties:</t>
  </si>
  <si>
    <t>Uren per jaar dagelijks schoonmaakonderhoud</t>
  </si>
  <si>
    <t>Totaal regulier schoonmaakonderhoud</t>
  </si>
  <si>
    <t>Totaal glasbewassing</t>
  </si>
  <si>
    <t>Per maand schoonmaak+glasbewassing</t>
  </si>
  <si>
    <t>Lino</t>
  </si>
  <si>
    <t>Tapijt</t>
  </si>
  <si>
    <t>4 x p/j geheel Sprayen en opwrijven</t>
  </si>
  <si>
    <t>1 x p/j Strippen en conserveren</t>
  </si>
  <si>
    <t>Totalen:</t>
  </si>
  <si>
    <t>Vloeronderhoud</t>
  </si>
  <si>
    <t>Totaal dagelijkse uren</t>
  </si>
  <si>
    <t>Kosten Schoonmaak onderhoud</t>
  </si>
  <si>
    <t>Kosten machine investeringen</t>
  </si>
  <si>
    <t>Kosten glasbewassing</t>
  </si>
  <si>
    <t>Kosten vloer onderhoud</t>
  </si>
  <si>
    <t>Na oplevering gefactureerd (uitvraag in overleg)</t>
  </si>
  <si>
    <t xml:space="preserve">Additionele kosten </t>
  </si>
  <si>
    <t>Na oplevering gefactureerd</t>
  </si>
  <si>
    <t>Kengetallenoverzicht schoonmaakonderhoud</t>
  </si>
  <si>
    <t>Gewogenprestatie</t>
  </si>
  <si>
    <t>PROGR.CODE</t>
  </si>
  <si>
    <t>FREQ. PER JAAR</t>
  </si>
  <si>
    <t>RUIMTECATEGORIE</t>
  </si>
  <si>
    <t>FREQ. OMSCHRIJVING</t>
  </si>
  <si>
    <t>KENGETAL BASIS-BEURT</t>
  </si>
  <si>
    <t>KENGETAL NALOOP-BEURT</t>
  </si>
  <si>
    <t>KENGETAL ZA ZO FSTDG</t>
  </si>
  <si>
    <t>KENGETAL NALOOP-BEURT ZA ZO FSTDG</t>
  </si>
  <si>
    <t>PRESTATIE NORM</t>
  </si>
  <si>
    <t>M2 VLOER</t>
  </si>
  <si>
    <t>VERHOUDING VLOEROPP.</t>
  </si>
  <si>
    <t>OPMERKING</t>
  </si>
  <si>
    <t>VSR</t>
  </si>
  <si>
    <t>Basis kengetal</t>
  </si>
  <si>
    <t>hier evt aanpassen</t>
  </si>
  <si>
    <t>Administratieve ruimten</t>
  </si>
  <si>
    <t>10 x per jaar</t>
  </si>
  <si>
    <t>B</t>
  </si>
  <si>
    <t>12 x per jaar</t>
  </si>
  <si>
    <t>1 x per 2 weken</t>
  </si>
  <si>
    <t>1 x per week</t>
  </si>
  <si>
    <t>2 x per week (40 weken p/j)</t>
  </si>
  <si>
    <t>2 x per week</t>
  </si>
  <si>
    <t>3 x per week (40 weken p/j)</t>
  </si>
  <si>
    <t>om de dag</t>
  </si>
  <si>
    <t>3 x p/w 45 weken p/j</t>
  </si>
  <si>
    <t>3 x per week</t>
  </si>
  <si>
    <t>4 x per week (40 weken p/j)</t>
  </si>
  <si>
    <t>5 x per week (40 weken p/j)</t>
  </si>
  <si>
    <t>5 x per week (41 weken p/j)</t>
  </si>
  <si>
    <t>5 x per week (42 weken p/j)</t>
  </si>
  <si>
    <t>5 x per week (46 weken p/j)</t>
  </si>
  <si>
    <t>5 x per week (49 weken p/j)</t>
  </si>
  <si>
    <t>5 x per week</t>
  </si>
  <si>
    <t>5 x per week (1 x keer naloop)</t>
  </si>
  <si>
    <t>Sanitaire ruimten</t>
  </si>
  <si>
    <t>S</t>
  </si>
  <si>
    <t xml:space="preserve">7 dagen p/w (45 weken p/j) </t>
  </si>
  <si>
    <t>7 dagen per week</t>
  </si>
  <si>
    <t>5 x p/w (45 weken p/j) + 1 x naloop p/d</t>
  </si>
  <si>
    <t>5 x p/w (49 weken p/j) + 1 x naloop p/d</t>
  </si>
  <si>
    <t>2 x per dag</t>
  </si>
  <si>
    <t>5 x p/w (45 weken p/j) + 2 x naloop</t>
  </si>
  <si>
    <t>4 x per dag</t>
  </si>
  <si>
    <t>Verkeersruimten</t>
  </si>
  <si>
    <t>V</t>
  </si>
  <si>
    <t>1 x per week (40 weken p/j)</t>
  </si>
  <si>
    <t>Liften</t>
  </si>
  <si>
    <t>4 x per week</t>
  </si>
  <si>
    <t>5 x per week (45 weken p/j)</t>
  </si>
  <si>
    <t>Trappenhuizen</t>
  </si>
  <si>
    <t>Pantry's / koffiecorners</t>
  </si>
  <si>
    <t>Restaurant (incl stoelen en tafels)</t>
  </si>
  <si>
    <t>Entree</t>
  </si>
  <si>
    <t>Verpleeg ruimten</t>
  </si>
  <si>
    <t>VP</t>
  </si>
  <si>
    <t>Behandel- en onderzoeksruimten</t>
  </si>
  <si>
    <t>O</t>
  </si>
  <si>
    <t>Kleedruimten</t>
  </si>
  <si>
    <t>Rookruimten</t>
  </si>
  <si>
    <t>Leslokalen</t>
  </si>
  <si>
    <t>L</t>
  </si>
  <si>
    <t>Opslagruimten</t>
  </si>
  <si>
    <t>1 x per jaar</t>
  </si>
  <si>
    <t>4 x per jaar</t>
  </si>
  <si>
    <t>Vergader- en spreekruimten</t>
  </si>
  <si>
    <t>Kinderdagverblijfsruimten</t>
  </si>
  <si>
    <t>Parkeergarages</t>
  </si>
  <si>
    <t>Publieksruimten</t>
  </si>
  <si>
    <t>Gymzaal</t>
  </si>
  <si>
    <t>nvt</t>
  </si>
  <si>
    <t>niet van toepassing</t>
  </si>
  <si>
    <t>op afroep</t>
  </si>
  <si>
    <t>Toelichting kengetallenoverzicht:</t>
  </si>
  <si>
    <t>Programmacode</t>
  </si>
  <si>
    <t>: unieke code die is gekoppeld aan een schoonmaakprogramma voor een bepaalde ruimtecategorie</t>
  </si>
  <si>
    <t>Frequentienotatie</t>
  </si>
  <si>
    <t>: cijfermatige notatie van het aantal keren dat een ruimte per jaar wordt schoongemaakt (zie onderstaande opgave)</t>
  </si>
  <si>
    <t>Ruimtecategorie</t>
  </si>
  <si>
    <t>: onderverdeling van de aanwezige ruimten in een object in een aantal categorieën</t>
  </si>
  <si>
    <t>Frequentie-omschr.</t>
  </si>
  <si>
    <t>: omschrijving van het aantal keren dat een ruimte per jaar wordt schoongemaakt (zie onderstaande opgave)</t>
  </si>
  <si>
    <t>Kengetal</t>
  </si>
  <si>
    <t xml:space="preserve">: uren per vierkante meter per jaar </t>
  </si>
  <si>
    <t>VSR-code</t>
  </si>
  <si>
    <t>: afkortingen voor ruimtecategorieën bij toepassing van VSR-kwaliteitsmetingen B=bureaukamers, V=verkeersruimten, S=sanitaire ruimten</t>
  </si>
  <si>
    <t>Prestatienorm</t>
  </si>
  <si>
    <t>: aantal schoon te maken m2 per uur</t>
  </si>
  <si>
    <t>Rijlabels</t>
  </si>
  <si>
    <t>Evenementenhal Vegelinsweg 6d/6c</t>
  </si>
  <si>
    <t>Gemeentehuis Heremastate 5</t>
  </si>
  <si>
    <t>Gemeentewerf Lemmer</t>
  </si>
  <si>
    <t>Gemeentewerf/milieustraat Balk</t>
  </si>
  <si>
    <t>Gymzaal Balk</t>
  </si>
  <si>
    <t>Gymzaal Kampke</t>
  </si>
  <si>
    <t xml:space="preserve">Gymzaal Streek </t>
  </si>
  <si>
    <t>Huisvesting Buitendienst</t>
  </si>
  <si>
    <t>Opvanglocatie Hotel Tjeukemeer</t>
  </si>
  <si>
    <t>Opvanglocatie Huis ter Heide</t>
  </si>
  <si>
    <t>Opvanglocatie IJsvogel</t>
  </si>
  <si>
    <t>Opvanglocatie Welgelegen</t>
  </si>
  <si>
    <t>Raadhuis Balk</t>
  </si>
  <si>
    <t xml:space="preserve">Servicepunt Balk  </t>
  </si>
  <si>
    <t xml:space="preserve">Servicepunt Lemmer  </t>
  </si>
  <si>
    <t>Sporthal De Trime Balk (28160)</t>
  </si>
  <si>
    <t>Voormalig Gemeentehuis Lemmer</t>
  </si>
  <si>
    <t>Eindtotaal</t>
  </si>
  <si>
    <t>Vertrouwlijk</t>
  </si>
  <si>
    <t>Sociale verzekeringen productie</t>
  </si>
  <si>
    <t>Sociale verzekeringen toezicht</t>
  </si>
  <si>
    <t>Bedrijfsgemiddelde</t>
  </si>
  <si>
    <t>WIA Basispremie</t>
  </si>
  <si>
    <t>√</t>
  </si>
  <si>
    <t>WGA sectorpremie</t>
  </si>
  <si>
    <t>ZW-flex</t>
  </si>
  <si>
    <t>WW premie- Algemeen Werkeloosheidsfonds (Awf)</t>
  </si>
  <si>
    <t>Transitievergoeding</t>
  </si>
  <si>
    <t>Zorgverzekeringswet (Zvw)</t>
  </si>
  <si>
    <t>OP/NP</t>
  </si>
  <si>
    <t>Kinderopvang</t>
  </si>
  <si>
    <t>RAS premie</t>
  </si>
  <si>
    <t>Loyaliteitsbonus (eenmalig)</t>
  </si>
  <si>
    <t>Totaal opslag sociale lasten</t>
  </si>
  <si>
    <t xml:space="preserve">Sociale verzekeringen - Ouderdomspensioen (OP/NP) </t>
  </si>
  <si>
    <t>werkgeversdeel</t>
  </si>
  <si>
    <t>SV uurloon inclusief toeslagen</t>
  </si>
  <si>
    <t>Franchise OP-premie per uur</t>
  </si>
  <si>
    <t>Let op -/- bedrag</t>
  </si>
  <si>
    <t>Grondslag loon voor berekening OP premie</t>
  </si>
  <si>
    <t>Premie Ouderdomspensioen (OP)</t>
  </si>
  <si>
    <t>Effectieve OP premie</t>
  </si>
  <si>
    <t>Berekening werkbaredagen</t>
  </si>
  <si>
    <t>Schoonmaak</t>
  </si>
  <si>
    <t>Aantal kalenderdagen</t>
  </si>
  <si>
    <t>Weekenddagen</t>
  </si>
  <si>
    <t>Werkdagen per jaar</t>
  </si>
  <si>
    <t>Nat. feestdagen, kort verzuim, bijz. CAO</t>
  </si>
  <si>
    <t>1e paas-en pinksterdag uitgesloten</t>
  </si>
  <si>
    <t>Vakantiedagen</t>
  </si>
  <si>
    <t>inclusief artikel 31A</t>
  </si>
  <si>
    <t>Ziektedagen</t>
  </si>
  <si>
    <t>Vorstverlet</t>
  </si>
  <si>
    <t>Werkbare dagen per jaar</t>
  </si>
  <si>
    <t>Nat. feestdagen, kort verzuim, bijz CAO</t>
  </si>
  <si>
    <t>Totaal % opslag werkbare dagen</t>
  </si>
  <si>
    <t xml:space="preserve">Het aantal werkbaredagen per jaar is een gemiddelde over 5 jaar. Er vindt geen periodieke verrekening plaats inverband met schrikkeljaren. </t>
  </si>
  <si>
    <t>Ruimtestaat</t>
  </si>
  <si>
    <t>Plaats</t>
  </si>
  <si>
    <t>LOCATIE</t>
  </si>
  <si>
    <t>VERD.</t>
  </si>
  <si>
    <t xml:space="preserve">RUIMTE NR </t>
  </si>
  <si>
    <t>RUIMTE OMSCHRIJVING (OPDRACHTGEVER)</t>
  </si>
  <si>
    <t>VLOER SOORT</t>
  </si>
  <si>
    <t>PROGR. CODE</t>
  </si>
  <si>
    <t>FREQ. NOTATIE</t>
  </si>
  <si>
    <t>UREN P/JR        MA-VR</t>
  </si>
  <si>
    <t>UREN P/JR     NALOOP MA/Vr</t>
  </si>
  <si>
    <t>UREN P/JR     ZA ZO FSTDG</t>
  </si>
  <si>
    <t>UREN P/JR     NALOOP ZA ZO FSTDG</t>
  </si>
  <si>
    <t>KEN-GETAL MA-VR</t>
  </si>
  <si>
    <t>KEN-GETAL NALOOP</t>
  </si>
  <si>
    <t>KEN-GETAL ZA ZO FSTDG</t>
  </si>
  <si>
    <t>KEN-GETAL NALOOP ZA ZO FSTDG</t>
  </si>
  <si>
    <t>VSR CODE</t>
  </si>
  <si>
    <t>Corectie factor MA VR</t>
  </si>
  <si>
    <t>Corectie factor NL MA VR</t>
  </si>
  <si>
    <t>Corectie factor ZA ZO FSTDG</t>
  </si>
  <si>
    <t>Corectie factor NL ZA ZO FSTDG</t>
  </si>
  <si>
    <t>Opmerking</t>
  </si>
  <si>
    <t>Joure</t>
  </si>
  <si>
    <t>0.01</t>
  </si>
  <si>
    <t>Kantoor</t>
  </si>
  <si>
    <t>Bureaukamer</t>
  </si>
  <si>
    <t>0.02</t>
  </si>
  <si>
    <t>Sanitair</t>
  </si>
  <si>
    <t>Sanitaire ruimte</t>
  </si>
  <si>
    <t xml:space="preserve">Steen </t>
  </si>
  <si>
    <t>0.03</t>
  </si>
  <si>
    <t>K01</t>
  </si>
  <si>
    <t>Magazijn</t>
  </si>
  <si>
    <t>Verkeersruimte</t>
  </si>
  <si>
    <t>DHGT</t>
  </si>
  <si>
    <t>K02</t>
  </si>
  <si>
    <t>Vergaderruimte</t>
  </si>
  <si>
    <t>K03</t>
  </si>
  <si>
    <t>Gietvloer</t>
  </si>
  <si>
    <t>K04</t>
  </si>
  <si>
    <t>Technische ruimte</t>
  </si>
  <si>
    <t>Beton</t>
  </si>
  <si>
    <t>K05</t>
  </si>
  <si>
    <t>Trap</t>
  </si>
  <si>
    <t>K06</t>
  </si>
  <si>
    <t>Berging</t>
  </si>
  <si>
    <t>K07</t>
  </si>
  <si>
    <t>K08</t>
  </si>
  <si>
    <t>K09</t>
  </si>
  <si>
    <t>K10</t>
  </si>
  <si>
    <t>K11</t>
  </si>
  <si>
    <t>K12</t>
  </si>
  <si>
    <t>K13</t>
  </si>
  <si>
    <t>Parkeergarage</t>
  </si>
  <si>
    <t>K14</t>
  </si>
  <si>
    <t>K15</t>
  </si>
  <si>
    <t>Meterkast</t>
  </si>
  <si>
    <t>K16</t>
  </si>
  <si>
    <t>Hout</t>
  </si>
  <si>
    <t>K17</t>
  </si>
  <si>
    <t>K18</t>
  </si>
  <si>
    <t>Nio</t>
  </si>
  <si>
    <t>K19</t>
  </si>
  <si>
    <t>?</t>
  </si>
  <si>
    <t>K20</t>
  </si>
  <si>
    <t>K21</t>
  </si>
  <si>
    <t>K22</t>
  </si>
  <si>
    <t>Noodtrap</t>
  </si>
  <si>
    <t>K23</t>
  </si>
  <si>
    <t>B01</t>
  </si>
  <si>
    <t>B0H02</t>
  </si>
  <si>
    <t>Lockerruimte</t>
  </si>
  <si>
    <t>B02</t>
  </si>
  <si>
    <t>B03</t>
  </si>
  <si>
    <t>B04</t>
  </si>
  <si>
    <t>Balie</t>
  </si>
  <si>
    <t>B05</t>
  </si>
  <si>
    <t>Schoonloopmat</t>
  </si>
  <si>
    <t>B06</t>
  </si>
  <si>
    <t>B07</t>
  </si>
  <si>
    <t>B08</t>
  </si>
  <si>
    <t>B09</t>
  </si>
  <si>
    <t>B11</t>
  </si>
  <si>
    <t>Steen/tapijt</t>
  </si>
  <si>
    <t>B25</t>
  </si>
  <si>
    <t>Centrale hal</t>
  </si>
  <si>
    <t>B26</t>
  </si>
  <si>
    <t>B31</t>
  </si>
  <si>
    <t>B32A</t>
  </si>
  <si>
    <t>B32B</t>
  </si>
  <si>
    <t>B33</t>
  </si>
  <si>
    <t>Postkamer</t>
  </si>
  <si>
    <t>B36A</t>
  </si>
  <si>
    <t>Kleedruimte/douches</t>
  </si>
  <si>
    <t>B36B</t>
  </si>
  <si>
    <t>Dames hal</t>
  </si>
  <si>
    <t>B37A</t>
  </si>
  <si>
    <t>Heren hal</t>
  </si>
  <si>
    <t>B37B</t>
  </si>
  <si>
    <t>B41</t>
  </si>
  <si>
    <t>B43</t>
  </si>
  <si>
    <t>Hal</t>
  </si>
  <si>
    <t>Natuursteen</t>
  </si>
  <si>
    <t>B43A</t>
  </si>
  <si>
    <t xml:space="preserve">Trap </t>
  </si>
  <si>
    <t>B44</t>
  </si>
  <si>
    <t>B46</t>
  </si>
  <si>
    <t>Spoelkeuken</t>
  </si>
  <si>
    <t>B47</t>
  </si>
  <si>
    <t>Uitgifte keuken</t>
  </si>
  <si>
    <t>B48</t>
  </si>
  <si>
    <t>Opslag keuken</t>
  </si>
  <si>
    <t>B51</t>
  </si>
  <si>
    <t>Kantoor repro</t>
  </si>
  <si>
    <t>B52A</t>
  </si>
  <si>
    <t>Gang</t>
  </si>
  <si>
    <t>B54</t>
  </si>
  <si>
    <t>B56</t>
  </si>
  <si>
    <t>Werkcafe</t>
  </si>
  <si>
    <t>B62</t>
  </si>
  <si>
    <t>Trouwzaal</t>
  </si>
  <si>
    <t>Parket</t>
  </si>
  <si>
    <t>B67</t>
  </si>
  <si>
    <t>MIVA Sanitair</t>
  </si>
  <si>
    <t>B69B</t>
  </si>
  <si>
    <t>Toilet</t>
  </si>
  <si>
    <t>B70A</t>
  </si>
  <si>
    <t>B70B</t>
  </si>
  <si>
    <t>B71A</t>
  </si>
  <si>
    <t>B71B</t>
  </si>
  <si>
    <t>B71C</t>
  </si>
  <si>
    <t>B72</t>
  </si>
  <si>
    <t>Pantry</t>
  </si>
  <si>
    <t>2Tec2</t>
  </si>
  <si>
    <t>B73</t>
  </si>
  <si>
    <t>B74</t>
  </si>
  <si>
    <t>B75</t>
  </si>
  <si>
    <t>B76</t>
  </si>
  <si>
    <t>B78</t>
  </si>
  <si>
    <t>B79A</t>
  </si>
  <si>
    <t>Steen</t>
  </si>
  <si>
    <t>B80</t>
  </si>
  <si>
    <t>B81</t>
  </si>
  <si>
    <t>EHBO/Kolf/Stilte</t>
  </si>
  <si>
    <t>B82</t>
  </si>
  <si>
    <t>Kantoortuin</t>
  </si>
  <si>
    <t>B83</t>
  </si>
  <si>
    <t>Ontmoetingsplek</t>
  </si>
  <si>
    <t>B84A</t>
  </si>
  <si>
    <t>Belcel</t>
  </si>
  <si>
    <t>B84B</t>
  </si>
  <si>
    <t>B85</t>
  </si>
  <si>
    <t>B86</t>
  </si>
  <si>
    <t>B88</t>
  </si>
  <si>
    <t>B89</t>
  </si>
  <si>
    <t>B90</t>
  </si>
  <si>
    <t>B91</t>
  </si>
  <si>
    <t>B92</t>
  </si>
  <si>
    <t>B93</t>
  </si>
  <si>
    <t>B94</t>
  </si>
  <si>
    <t>B95</t>
  </si>
  <si>
    <t>L1</t>
  </si>
  <si>
    <t>Lift</t>
  </si>
  <si>
    <t>PVC</t>
  </si>
  <si>
    <t>L2</t>
  </si>
  <si>
    <t>Receptie</t>
  </si>
  <si>
    <t>102A</t>
  </si>
  <si>
    <t>Hal verhoogd</t>
  </si>
  <si>
    <t>102B</t>
  </si>
  <si>
    <t>Rolstoellift</t>
  </si>
  <si>
    <t>103B</t>
  </si>
  <si>
    <t>Wenteltrap</t>
  </si>
  <si>
    <t>Repro ruimte</t>
  </si>
  <si>
    <t>162A</t>
  </si>
  <si>
    <t>Raadzaal</t>
  </si>
  <si>
    <t>Lounge</t>
  </si>
  <si>
    <t>179A</t>
  </si>
  <si>
    <t>Bode ruimte</t>
  </si>
  <si>
    <t>Servicedesk</t>
  </si>
  <si>
    <t>161A</t>
  </si>
  <si>
    <t>Linoleum</t>
  </si>
  <si>
    <t>115A</t>
  </si>
  <si>
    <t>Overloop</t>
  </si>
  <si>
    <t>Kleedruimte BAB</t>
  </si>
  <si>
    <t>160A</t>
  </si>
  <si>
    <t>Gang/trap</t>
  </si>
  <si>
    <t>135A</t>
  </si>
  <si>
    <t>135B</t>
  </si>
  <si>
    <t>135C</t>
  </si>
  <si>
    <t>169A</t>
  </si>
  <si>
    <t>169B</t>
  </si>
  <si>
    <t>1101A</t>
  </si>
  <si>
    <t>1101B</t>
  </si>
  <si>
    <t>1101C</t>
  </si>
  <si>
    <t>279A</t>
  </si>
  <si>
    <t>271A</t>
  </si>
  <si>
    <t>271B</t>
  </si>
  <si>
    <t>271C</t>
  </si>
  <si>
    <t>271D</t>
  </si>
  <si>
    <t>272A</t>
  </si>
  <si>
    <t>272B</t>
  </si>
  <si>
    <t>274A</t>
  </si>
  <si>
    <t>274B</t>
  </si>
  <si>
    <t>275A</t>
  </si>
  <si>
    <t>275B</t>
  </si>
  <si>
    <t>269B</t>
  </si>
  <si>
    <t>215B</t>
  </si>
  <si>
    <t>216A</t>
  </si>
  <si>
    <t>216B</t>
  </si>
  <si>
    <t>2101A</t>
  </si>
  <si>
    <t>2101B</t>
  </si>
  <si>
    <t>2101C</t>
  </si>
  <si>
    <t>Hal/pantry</t>
  </si>
  <si>
    <t>Douche</t>
  </si>
  <si>
    <t>tapijt</t>
  </si>
  <si>
    <t>Flexplekken BOA</t>
  </si>
  <si>
    <t>Lemmer</t>
  </si>
  <si>
    <t>Topshield</t>
  </si>
  <si>
    <t>002A</t>
  </si>
  <si>
    <t>Kantine</t>
  </si>
  <si>
    <t>Kleedruimte</t>
  </si>
  <si>
    <t>007A</t>
  </si>
  <si>
    <t>Douches</t>
  </si>
  <si>
    <t>008A</t>
  </si>
  <si>
    <t>010A</t>
  </si>
  <si>
    <t>Kantoor locatiebeheerder</t>
  </si>
  <si>
    <t>101A</t>
  </si>
  <si>
    <t>Gang/repro</t>
  </si>
  <si>
    <t>Kantoor laadperron</t>
  </si>
  <si>
    <t>Toilet laadperron</t>
  </si>
  <si>
    <t>Balk</t>
  </si>
  <si>
    <t>gang</t>
  </si>
  <si>
    <t>gietvloer</t>
  </si>
  <si>
    <t>keuken/pantry</t>
  </si>
  <si>
    <t>kleedruimte 1steen</t>
  </si>
  <si>
    <t xml:space="preserve">steen </t>
  </si>
  <si>
    <t>0.04</t>
  </si>
  <si>
    <t>toilet</t>
  </si>
  <si>
    <t>steen</t>
  </si>
  <si>
    <t>0.05</t>
  </si>
  <si>
    <t>kleedruimte 2steen</t>
  </si>
  <si>
    <t>0.06</t>
  </si>
  <si>
    <t>0.07</t>
  </si>
  <si>
    <t>0.08</t>
  </si>
  <si>
    <t>docentenruimte</t>
  </si>
  <si>
    <t>0.09</t>
  </si>
  <si>
    <t>douche/wc</t>
  </si>
  <si>
    <t>0.10</t>
  </si>
  <si>
    <t>Pulastic</t>
  </si>
  <si>
    <t>0.11</t>
  </si>
  <si>
    <t>toestelberging</t>
  </si>
  <si>
    <t>Terherne</t>
  </si>
  <si>
    <t xml:space="preserve">kleedruimte </t>
  </si>
  <si>
    <t>Sint Johannesga</t>
  </si>
  <si>
    <t>9a</t>
  </si>
  <si>
    <t>Werkkast</t>
  </si>
  <si>
    <t>9b</t>
  </si>
  <si>
    <t>15a</t>
  </si>
  <si>
    <t>Keuken</t>
  </si>
  <si>
    <t>Metaal/traanplaat</t>
  </si>
  <si>
    <t>Portocabin</t>
  </si>
  <si>
    <t>Sint Nicolaasga</t>
  </si>
  <si>
    <t>001</t>
  </si>
  <si>
    <t>trap</t>
  </si>
  <si>
    <t>Hout/tapijt</t>
  </si>
  <si>
    <t>002</t>
  </si>
  <si>
    <t>003</t>
  </si>
  <si>
    <t>004</t>
  </si>
  <si>
    <t>005</t>
  </si>
  <si>
    <t>006</t>
  </si>
  <si>
    <t>007</t>
  </si>
  <si>
    <t>Eetzaal</t>
  </si>
  <si>
    <t>008</t>
  </si>
  <si>
    <t>009</t>
  </si>
  <si>
    <t>010</t>
  </si>
  <si>
    <t>011</t>
  </si>
  <si>
    <t>012</t>
  </si>
  <si>
    <t>013</t>
  </si>
  <si>
    <t>014</t>
  </si>
  <si>
    <t>015</t>
  </si>
  <si>
    <t>Zaal</t>
  </si>
  <si>
    <t>016</t>
  </si>
  <si>
    <t>017</t>
  </si>
  <si>
    <t xml:space="preserve">Overloop </t>
  </si>
  <si>
    <t>Sanitair unit</t>
  </si>
  <si>
    <t>Lino/PVC</t>
  </si>
  <si>
    <t>Delfstrahuizen</t>
  </si>
  <si>
    <t>Laminaat</t>
  </si>
  <si>
    <t>Rubber noppen</t>
  </si>
  <si>
    <t xml:space="preserve">Hal </t>
  </si>
  <si>
    <t>Badkamer</t>
  </si>
  <si>
    <t>PVC/hout</t>
  </si>
  <si>
    <t>Ontbijtzaal</t>
  </si>
  <si>
    <t>Sluis</t>
  </si>
  <si>
    <t>U001</t>
  </si>
  <si>
    <t>U002</t>
  </si>
  <si>
    <t>P1.1</t>
  </si>
  <si>
    <t>P1.2</t>
  </si>
  <si>
    <t>Leslokaal</t>
  </si>
  <si>
    <t>P1.3</t>
  </si>
  <si>
    <t xml:space="preserve">Keuken </t>
  </si>
  <si>
    <t>P1.4</t>
  </si>
  <si>
    <t>Bijkeuken</t>
  </si>
  <si>
    <t>P1.5</t>
  </si>
  <si>
    <t>P1.6</t>
  </si>
  <si>
    <t>P1.7</t>
  </si>
  <si>
    <t>P2.1</t>
  </si>
  <si>
    <t>P2.2</t>
  </si>
  <si>
    <t>P2.3</t>
  </si>
  <si>
    <t>P2.4</t>
  </si>
  <si>
    <t>P2.5</t>
  </si>
  <si>
    <t>P2.6</t>
  </si>
  <si>
    <t>P2.7</t>
  </si>
  <si>
    <t>P2.8</t>
  </si>
  <si>
    <t>021</t>
  </si>
  <si>
    <t>024</t>
  </si>
  <si>
    <t>025</t>
  </si>
  <si>
    <t>Washok</t>
  </si>
  <si>
    <t>Harich</t>
  </si>
  <si>
    <t>hout</t>
  </si>
  <si>
    <t>Lesruimte</t>
  </si>
  <si>
    <t>Wasruimte</t>
  </si>
  <si>
    <t>Speelruimte</t>
  </si>
  <si>
    <t>Tribune</t>
  </si>
  <si>
    <t>4a</t>
  </si>
  <si>
    <t>4b</t>
  </si>
  <si>
    <t>Kluis</t>
  </si>
  <si>
    <t>Patchruimte</t>
  </si>
  <si>
    <t>sportzaal</t>
  </si>
  <si>
    <t>Toestel berging</t>
  </si>
  <si>
    <t>Kleedruimte 1tegel</t>
  </si>
  <si>
    <t>Scheidsrechterruimte</t>
  </si>
  <si>
    <t>Kleedruimte 2tegel</t>
  </si>
  <si>
    <t>0.12</t>
  </si>
  <si>
    <t>0.13</t>
  </si>
  <si>
    <t>0.14</t>
  </si>
  <si>
    <t>0.15</t>
  </si>
  <si>
    <t>0.16</t>
  </si>
  <si>
    <t>0.17</t>
  </si>
  <si>
    <t>Kleedruimte 3tegel</t>
  </si>
  <si>
    <t>0.18</t>
  </si>
  <si>
    <t>0.19</t>
  </si>
  <si>
    <t>0.20</t>
  </si>
  <si>
    <t>0.21</t>
  </si>
  <si>
    <t>Kleedruimte 4tegel</t>
  </si>
  <si>
    <t>0.22</t>
  </si>
  <si>
    <t>0.23</t>
  </si>
  <si>
    <t>0.24</t>
  </si>
  <si>
    <t>0.25</t>
  </si>
  <si>
    <t>pers.ingang</t>
  </si>
  <si>
    <t>0.26</t>
  </si>
  <si>
    <t>0.27</t>
  </si>
  <si>
    <t>0.28</t>
  </si>
  <si>
    <t>0.29</t>
  </si>
  <si>
    <t>Miva</t>
  </si>
  <si>
    <t>1.01</t>
  </si>
  <si>
    <t>tribune</t>
  </si>
  <si>
    <t>1.02</t>
  </si>
  <si>
    <t>kantine</t>
  </si>
  <si>
    <t>Museumruimte</t>
  </si>
  <si>
    <t>Kast</t>
  </si>
  <si>
    <t>Gewogen prestatie</t>
  </si>
  <si>
    <t>6-Opbouw uurtarief productie</t>
  </si>
  <si>
    <t>Tariefopbouw schoonmaak</t>
  </si>
  <si>
    <t>Gemiddeld tarief ma t/m vr</t>
  </si>
  <si>
    <t>Medewerker</t>
  </si>
  <si>
    <t>Uurlonen per 1 januari 2027</t>
  </si>
  <si>
    <t>Gemiddeld basisuurloon</t>
  </si>
  <si>
    <t>17 jaar en jonger</t>
  </si>
  <si>
    <t>Specialistentoeslag</t>
  </si>
  <si>
    <t>Projectgebonden!</t>
  </si>
  <si>
    <t>18 jaar</t>
  </si>
  <si>
    <t>Gevarentoeslag  (indien van toepassing)</t>
  </si>
  <si>
    <t>19 jaar</t>
  </si>
  <si>
    <t>Bruto uurloon</t>
  </si>
  <si>
    <t xml:space="preserve">Vakantietoeslag </t>
  </si>
  <si>
    <t>Vakvolwassen 1 dienstjaar</t>
  </si>
  <si>
    <t xml:space="preserve">Structurele eindejaarsuitkering </t>
  </si>
  <si>
    <t>Vakvolwassen 2 dienstjaren</t>
  </si>
  <si>
    <t>Bruto uurloon inclusief toeslagen</t>
  </si>
  <si>
    <t>Vakvolwassen 3 dienstjaren</t>
  </si>
  <si>
    <t>Vakvolwassen 4 dienstjaren</t>
  </si>
  <si>
    <t>SV-loon grondslag voor berekening sociale verzekeringen</t>
  </si>
  <si>
    <t>Premies Sociale Verzekeringen</t>
  </si>
  <si>
    <t>[zie premies en opslagen]</t>
  </si>
  <si>
    <t>Percentage per loongroep voor gemiddeld tarief</t>
  </si>
  <si>
    <t>Subtotaal loonkosten per uur inclusief sociale verzekeringen</t>
  </si>
  <si>
    <t>Opslag niet werkbare dagen</t>
  </si>
  <si>
    <t>Totaal loonkosten per uur</t>
  </si>
  <si>
    <t>Materiaal/- en middelen</t>
  </si>
  <si>
    <t>Werkkleding en uitrusting</t>
  </si>
  <si>
    <t>Totaal directe kosten</t>
  </si>
  <si>
    <t>Totaal per loongroepen</t>
  </si>
  <si>
    <t>Indirect toezicht</t>
  </si>
  <si>
    <t>Managementkosten</t>
  </si>
  <si>
    <t>Opbouw gemiddeld tarief</t>
  </si>
  <si>
    <t>P.Z. kosten</t>
  </si>
  <si>
    <t>Opleiding</t>
  </si>
  <si>
    <t>Administratiekosten</t>
  </si>
  <si>
    <t>Huisvestingskosten</t>
  </si>
  <si>
    <t>Reiskosten vergoeding artikel 36 CAO indien van toepassing</t>
  </si>
  <si>
    <t>Kosten verzuimbegeleiding</t>
  </si>
  <si>
    <t>Totaal indirecte kosten</t>
  </si>
  <si>
    <t>Risico en winst</t>
  </si>
  <si>
    <t>Totaal eindtarief normale werktijden [06.00-21.30 uur]</t>
  </si>
  <si>
    <t>Totaal eindtarief  [incl. 30% toeslag]</t>
  </si>
  <si>
    <t>Totaal eindtarief weekenden [incl. 50% toeslag]</t>
  </si>
  <si>
    <t>Totaal eindtarief feestdagen [incl. 150% toeslag]</t>
  </si>
  <si>
    <t>Tariefopbouw toezicht</t>
  </si>
  <si>
    <t>Gemiddeld tarief  ma t/m vr</t>
  </si>
  <si>
    <t>Gemiddeld basisuurloon toezicht</t>
  </si>
  <si>
    <t>Reiskosten/autokosten</t>
  </si>
  <si>
    <t>Machine investeringskosten</t>
  </si>
  <si>
    <t>Machine investeringkosten</t>
  </si>
  <si>
    <t>Machine</t>
  </si>
  <si>
    <t>Diverse machines voor totale contract</t>
  </si>
  <si>
    <t>Omschrijving</t>
  </si>
  <si>
    <t>Kosten bij koop (excl. btw)</t>
  </si>
  <si>
    <t>Kostprijs</t>
  </si>
  <si>
    <t>Catalogusprijs</t>
  </si>
  <si>
    <t>Korting</t>
  </si>
  <si>
    <t>Netto aanschafprijs</t>
  </si>
  <si>
    <t xml:space="preserve">Afschrijvingstermijn in jaren </t>
  </si>
  <si>
    <t>Restwaarde</t>
  </si>
  <si>
    <t>Kosten bij koop per jaar</t>
  </si>
  <si>
    <t>Afschrijvingskosten per jaar</t>
  </si>
  <si>
    <t>Onderhoudskosten per jaar*</t>
  </si>
  <si>
    <t xml:space="preserve">Renteverlies per jaar </t>
  </si>
  <si>
    <t xml:space="preserve">Verzekeringskosten per jaar </t>
  </si>
  <si>
    <t>Totaal kosten bij koop per jaar per machine</t>
  </si>
  <si>
    <t>Inzet van het aantal machines [stuks]</t>
  </si>
  <si>
    <t>Aantal machines is fictief. De juiste machines dient de leverancier zelf te bepalen.</t>
  </si>
  <si>
    <t>Toelichting:</t>
  </si>
  <si>
    <t xml:space="preserve">Alle kosten aanbieden inclusief de benodigde hulpstukken/borstels, etc. </t>
  </si>
  <si>
    <t>Onderhoudskosten aanbieden inclusief de kosten van reparaties en/of inzet van vervangende apparatuur.</t>
  </si>
  <si>
    <t>Alle prijzen aanbieden exclusief btw.</t>
  </si>
  <si>
    <t>prijsverhoging</t>
  </si>
  <si>
    <t>niets invullen</t>
  </si>
  <si>
    <t>Glasbewassing</t>
  </si>
  <si>
    <t>Uitvoering normale werktijden: maandag t/m vrijdag [06.00 en 21.30 uur]</t>
  </si>
  <si>
    <t>Prijsvorming Glasbewassing</t>
  </si>
  <si>
    <t>Kleinschaligheidsberekening</t>
  </si>
  <si>
    <t>m2 Buitengevelglas (incl. kozijnen)</t>
  </si>
  <si>
    <t>m2 Binnengevelglas (incl. kozijnen)</t>
  </si>
  <si>
    <t>m2 Separatieglas tweezijdig gemeten (incl. kozijnen) (incl. buitezijde liftschacht)</t>
  </si>
  <si>
    <t>m2 Entree glas</t>
  </si>
  <si>
    <t>Klimmateriaal</t>
  </si>
  <si>
    <t>Uren per jaar</t>
  </si>
  <si>
    <t>Frequentie p/j</t>
  </si>
  <si>
    <t>Minimale uren p/d</t>
  </si>
  <si>
    <t>Kleinschaligheidstoeslag</t>
  </si>
  <si>
    <t>totaaal glasbewassing</t>
  </si>
  <si>
    <t>Check FS</t>
  </si>
  <si>
    <t>Max van FREQ. NOTATIE</t>
  </si>
  <si>
    <t>HW + steiger</t>
  </si>
  <si>
    <t>Gymzaal Foarmeling Sloten (alleen glasbewassing)</t>
  </si>
  <si>
    <t>Gymzaal Sint Nicolaasga (alleen glasbewassing)</t>
  </si>
  <si>
    <t>Gymzaal Woudfenne Joure (alleen glasbewassing)</t>
  </si>
  <si>
    <t>SCC Hege Fonne Lemmer (alleen glasbewassing)</t>
  </si>
  <si>
    <t>(leeg)</t>
  </si>
  <si>
    <t>Sporthal De Stuit Joure (alleen glasbewassing)</t>
  </si>
  <si>
    <t>Sporthal De Trime Balk (alleen glasbewassing)</t>
  </si>
  <si>
    <t>Sporthal De Twilling Echten (alleen glasbewassing)</t>
  </si>
  <si>
    <t>Sporthal Doniahal Sint Nicolaasga (alleen glasbewassing)</t>
  </si>
  <si>
    <t>Sporthal It Tsjillân Langweer (alleen glasbewassing)</t>
  </si>
  <si>
    <t>Afroepprijzen</t>
  </si>
  <si>
    <t>Prijsvorming Afroep werkzaamheden</t>
  </si>
  <si>
    <t>Prijs p/m2 of per stuk excl. Btw</t>
  </si>
  <si>
    <t>Activiteit</t>
  </si>
  <si>
    <t>Per m2/stuk/keer</t>
  </si>
  <si>
    <t>prijs p/m2/stuk/keer</t>
  </si>
  <si>
    <t>frequentie</t>
  </si>
  <si>
    <t>Reinigen van perrons van de entree van de vooringang en achteringang van de raadzaal op Heremastate 1 te Joure met hoge druk (6 keer per jaar)</t>
  </si>
  <si>
    <t>per jaar</t>
  </si>
  <si>
    <t>Vegen van de neveningang bij B05 en de hoofdentree bij 100 + spinrag verwijderen</t>
  </si>
  <si>
    <t>1 keer per week</t>
  </si>
  <si>
    <t>Reinigen van binnenzijde koelkasten en magnetron op Gemeentewerf Lemmer (12 keer per jaar)</t>
  </si>
  <si>
    <t>Reinigen van binnenzijde koelkasten en magnetron op Milieustraat Balk (12 keer per jaar)</t>
  </si>
  <si>
    <t>Reinigen van koelkast en magnetron op Heremastate 5 (12 keer per jaar)</t>
  </si>
  <si>
    <t>Reinigen van koelkast op Heremastate 1 in pantry's (12 keer per jaar)</t>
  </si>
  <si>
    <t>Opmerking:</t>
  </si>
  <si>
    <t>Alle prijzen zijn  inclusief materialen en middelen, voorrijkosten en overige bijkomende kosten.</t>
  </si>
  <si>
    <t>Alle prijzen zijn exclusief btw</t>
  </si>
  <si>
    <t>Uitvoering op normale werktijden: maandag t/m vrijdag [06.00 en 21.30 uur]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</si>
</sst>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2" formatCode="_(&quot;€&quot;\ * #,##0_);_(&quot;€&quot;\ * \(#,##0\);_(&quot;€&quot;\ * &quot;-&quot;_);_(@_)"/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 * #,##0.00_ ;_ * \-#,##0.00_ ;_ * &quot;-&quot;??_ ;_ @_ "/>
    <numFmt numFmtId="165" formatCode="_-* #,##0.00_-;_-* #,##0.00\-;_-* &quot;-&quot;??_-;_-@"/>
    <numFmt numFmtId="166" formatCode="0.000"/>
    <numFmt numFmtId="167" formatCode="[$-413]d/mmm/yyyy"/>
    <numFmt numFmtId="168" formatCode="_([$€-2]\ * #,##0.00_);_([$€-2]\ * \(#,##0.00\);_([$€-2]\ * &quot;-&quot;??_);_(@_)"/>
    <numFmt numFmtId="169" formatCode="0_)"/>
    <numFmt numFmtId="170" formatCode="d/mm/yy"/>
    <numFmt numFmtId="171" formatCode="0.00_)"/>
    <numFmt numFmtId="172" formatCode="_ [$€-2]\ * #,##0.00_ ;_ [$€-2]\ * \-#,##0.00_ ;_ [$€-2]\ * &quot;-&quot;??_ ;_ @_ "/>
    <numFmt numFmtId="173" formatCode="General_)"/>
    <numFmt numFmtId="174" formatCode="_-[$€-2]\ * #,##0.00_ ;_-[$€-2]\ * \-#,##0.00\ ;_-[$€-2]\ * &quot;-&quot;??_ ;_-@_ "/>
    <numFmt numFmtId="175" formatCode="_-* #,##0_-;_-* #,##0\-;_-* &quot;-&quot;??_-;_-@"/>
    <numFmt numFmtId="176" formatCode="00,000"/>
    <numFmt numFmtId="177" formatCode="0.0%"/>
    <numFmt numFmtId="178" formatCode="0.0"/>
    <numFmt numFmtId="179" formatCode="_(&quot;ƒ&quot;* #,##0.00_);_(&quot;ƒ&quot;* \(#,##0.00\);_(&quot;ƒ&quot;* &quot;-&quot;??_);_(@_)"/>
    <numFmt numFmtId="180" formatCode="0.000000000"/>
    <numFmt numFmtId="181" formatCode="_-* #,##0.000_-;_-* #,##0.000\-;_-* &quot;-&quot;??_-;_-@"/>
    <numFmt numFmtId="182" formatCode="000"/>
    <numFmt numFmtId="183" formatCode="#,##0.0"/>
    <numFmt numFmtId="184" formatCode="[$-413]dd/mmm/yy"/>
    <numFmt numFmtId="185" formatCode="0.000%"/>
    <numFmt numFmtId="186" formatCode="0.0000"/>
    <numFmt numFmtId="187" formatCode="_(&quot;€&quot;* #,##0.00_);_(&quot;€&quot;* \(#,##0.00\);_(&quot;€&quot;* &quot;-&quot;??_);_(@_)"/>
    <numFmt numFmtId="188" formatCode="0_);\(0\)"/>
    <numFmt numFmtId="189" formatCode="[$-413]d/mmm/yy"/>
    <numFmt numFmtId="190" formatCode="#,##0.00000_);\(#,##0.00000\)"/>
    <numFmt numFmtId="191" formatCode="_-&quot;€&quot;\ * #,##0.00_-;_-&quot;€&quot;\ * #,##0.00\-;_-&quot;€&quot;\ * &quot;-&quot;??_-;_-@_-"/>
    <numFmt numFmtId="192" formatCode="0.0000000"/>
    <numFmt numFmtId="193" formatCode="_ [$€-413]\ * #,##0.00_ ;_ [$€-413]\ * \-#,##0.00_ ;_ [$€-413]\ * &quot;-&quot;??_ ;_ @_ "/>
    <numFmt numFmtId="194" formatCode="_-* #,##0.00_-;\-* #,##0.00_-;_-* &quot;-&quot;??_-;_-@_-"/>
    <numFmt numFmtId="195" formatCode="_-* #,##0.00_-;_-* #,##0.00\-;_-* &quot;-&quot;??_-;_-@_-"/>
    <numFmt numFmtId="196" formatCode="[$-413]d/mmm/yy;@"/>
  </numFmts>
  <fonts count="59">
    <font>
      <sz val="10"/>
      <color rgb="FF000000"/>
      <name val="Open Sans"/>
    </font>
    <font>
      <sz val="10"/>
      <color theme="1"/>
      <name val="Verdana"/>
      <family val="2"/>
    </font>
    <font>
      <b/>
      <sz val="10"/>
      <color rgb="FFDD0806"/>
      <name val="Verdana"/>
      <family val="2"/>
    </font>
    <font>
      <sz val="10"/>
      <color rgb="FF333399"/>
      <name val="Verdana"/>
      <family val="2"/>
    </font>
    <font>
      <b/>
      <sz val="12"/>
      <color rgb="FF000090"/>
      <name val="Verdana"/>
      <family val="2"/>
    </font>
    <font>
      <sz val="12"/>
      <color rgb="FF000090"/>
      <name val="Verdana"/>
      <family val="2"/>
    </font>
    <font>
      <sz val="10"/>
      <name val="Open Sans"/>
      <family val="2"/>
    </font>
    <font>
      <b/>
      <sz val="12"/>
      <color rgb="FFDD0806"/>
      <name val="Verdana"/>
      <family val="2"/>
    </font>
    <font>
      <sz val="10"/>
      <color rgb="FF000090"/>
      <name val="Verdana"/>
      <family val="2"/>
    </font>
    <font>
      <b/>
      <sz val="10"/>
      <color rgb="FF333399"/>
      <name val="Verdana"/>
      <family val="2"/>
    </font>
    <font>
      <sz val="10"/>
      <color rgb="FFDD0806"/>
      <name val="Verdana"/>
      <family val="2"/>
    </font>
    <font>
      <sz val="10"/>
      <color rgb="FF000000"/>
      <name val="Verdana"/>
      <family val="2"/>
    </font>
    <font>
      <b/>
      <sz val="10"/>
      <color rgb="FF000090"/>
      <name val="Verdana"/>
      <family val="2"/>
    </font>
    <font>
      <b/>
      <sz val="10"/>
      <color theme="1"/>
      <name val="Verdana"/>
      <family val="2"/>
    </font>
    <font>
      <u/>
      <sz val="10"/>
      <color theme="1"/>
      <name val="Verdana"/>
      <family val="2"/>
    </font>
    <font>
      <sz val="10"/>
      <color theme="1"/>
      <name val="Open Sans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sz val="10"/>
      <color rgb="FFFF0000"/>
      <name val="Verdana"/>
      <family val="2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10"/>
      <color theme="1"/>
      <name val="Open Sans"/>
      <family val="2"/>
    </font>
    <font>
      <sz val="10"/>
      <color rgb="FF000000"/>
      <name val="Open Sans"/>
      <family val="2"/>
    </font>
    <font>
      <sz val="10"/>
      <color theme="0"/>
      <name val="Calibri"/>
      <family val="2"/>
    </font>
    <font>
      <sz val="10"/>
      <color theme="0"/>
      <name val="Open Sans"/>
      <family val="2"/>
    </font>
    <font>
      <sz val="12"/>
      <color rgb="FFFF0000"/>
      <name val="Verdana"/>
      <family val="2"/>
    </font>
    <font>
      <sz val="8"/>
      <name val="Open Sans"/>
      <family val="2"/>
    </font>
    <font>
      <sz val="10"/>
      <name val="Helv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MS Sans Serif"/>
      <family val="2"/>
    </font>
    <font>
      <sz val="10"/>
      <color indexed="10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  <font>
      <b/>
      <sz val="10"/>
      <color indexed="20"/>
      <name val="Verdana"/>
      <family val="2"/>
    </font>
    <font>
      <sz val="10"/>
      <color theme="0"/>
      <name val="Verdana"/>
      <family val="2"/>
    </font>
    <font>
      <b/>
      <sz val="10"/>
      <color indexed="18"/>
      <name val="Verdana"/>
      <family val="2"/>
    </font>
    <font>
      <sz val="10"/>
      <color indexed="8"/>
      <name val="Verdana"/>
      <family val="2"/>
    </font>
    <font>
      <b/>
      <sz val="10"/>
      <color theme="0"/>
      <name val="Verdana"/>
      <family val="2"/>
    </font>
    <font>
      <sz val="10"/>
      <color indexed="18"/>
      <name val="Verdana"/>
      <family val="2"/>
    </font>
    <font>
      <b/>
      <sz val="10"/>
      <color indexed="8"/>
      <name val="Verdana"/>
      <family val="2"/>
    </font>
    <font>
      <b/>
      <sz val="10"/>
      <color indexed="10"/>
      <name val="Verdana"/>
      <family val="2"/>
    </font>
    <font>
      <i/>
      <sz val="10"/>
      <color indexed="10"/>
      <name val="Verdana"/>
      <family val="2"/>
    </font>
    <font>
      <sz val="10"/>
      <color theme="0" tint="-0.499984740745262"/>
      <name val="Verdana"/>
      <family val="2"/>
    </font>
    <font>
      <sz val="10"/>
      <color indexed="23"/>
      <name val="Verdana"/>
      <family val="2"/>
    </font>
    <font>
      <sz val="10"/>
      <color rgb="FF0AAAFF"/>
      <name val="Verdana"/>
      <family val="2"/>
    </font>
    <font>
      <sz val="10"/>
      <color rgb="FF000000"/>
      <name val="Open Sans"/>
      <family val="2"/>
    </font>
    <font>
      <b/>
      <sz val="16"/>
      <color rgb="FF000000"/>
      <name val="Open Sans"/>
      <family val="2"/>
    </font>
    <font>
      <b/>
      <i/>
      <sz val="11"/>
      <color rgb="FF000000"/>
      <name val="Open Sans"/>
      <family val="2"/>
    </font>
    <font>
      <b/>
      <sz val="10"/>
      <color rgb="FFFF0000"/>
      <name val="Open Sans"/>
      <family val="2"/>
    </font>
    <font>
      <b/>
      <sz val="10"/>
      <color rgb="FF000000"/>
      <name val="Open Sans"/>
      <family val="2"/>
    </font>
    <font>
      <b/>
      <sz val="12"/>
      <color theme="1"/>
      <name val="Open Sans"/>
      <family val="2"/>
    </font>
    <font>
      <sz val="10"/>
      <color rgb="FF0070C0"/>
      <name val="Verdana"/>
      <family val="2"/>
    </font>
    <font>
      <b/>
      <sz val="10"/>
      <color rgb="FF00B050"/>
      <name val="Open Sans"/>
      <family val="2"/>
    </font>
    <font>
      <sz val="10"/>
      <color rgb="FFFF0000"/>
      <name val="Open Sans"/>
      <family val="2"/>
    </font>
    <font>
      <b/>
      <sz val="10"/>
      <color rgb="FF002060"/>
      <name val="Verdana"/>
      <family val="2"/>
    </font>
    <font>
      <b/>
      <sz val="10"/>
      <color rgb="FF000000"/>
      <name val="Open Sans"/>
    </font>
  </fonts>
  <fills count="19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DAEEF3"/>
        <bgColor rgb="FFDAEEF3"/>
      </patternFill>
    </fill>
    <fill>
      <patternFill patternType="solid">
        <fgColor rgb="FFFFFF00"/>
        <bgColor rgb="FFFFFF00"/>
      </patternFill>
    </fill>
    <fill>
      <patternFill patternType="solid">
        <fgColor rgb="FF95B3D7"/>
        <bgColor rgb="FF95B3D7"/>
      </patternFill>
    </fill>
    <fill>
      <patternFill patternType="solid">
        <fgColor rgb="FFFF6600"/>
        <bgColor rgb="FFFF66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6CAF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AAA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2" tint="-0.249977111117893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CCFFCC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8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8">
    <xf numFmtId="0" fontId="0" fillId="0" borderId="0"/>
    <xf numFmtId="9" fontId="22" fillId="0" borderId="0" applyFont="0" applyFill="0" applyBorder="0" applyAlignment="0" applyProtection="0"/>
    <xf numFmtId="0" fontId="27" fillId="0" borderId="6"/>
    <xf numFmtId="0" fontId="28" fillId="0" borderId="6"/>
    <xf numFmtId="0" fontId="27" fillId="0" borderId="6"/>
    <xf numFmtId="0" fontId="29" fillId="0" borderId="6"/>
    <xf numFmtId="0" fontId="30" fillId="0" borderId="6"/>
    <xf numFmtId="191" fontId="31" fillId="0" borderId="6" applyFont="0" applyFill="0" applyBorder="0" applyAlignment="0" applyProtection="0"/>
    <xf numFmtId="9" fontId="31" fillId="0" borderId="6" applyFont="0" applyFill="0" applyBorder="0" applyAlignment="0" applyProtection="0"/>
    <xf numFmtId="194" fontId="27" fillId="0" borderId="6" applyFont="0" applyFill="0" applyBorder="0" applyAlignment="0" applyProtection="0"/>
    <xf numFmtId="195" fontId="31" fillId="0" borderId="6" applyFont="0" applyFill="0" applyBorder="0" applyAlignment="0" applyProtection="0"/>
    <xf numFmtId="179" fontId="30" fillId="0" borderId="6" applyFont="0" applyFill="0" applyBorder="0" applyAlignment="0" applyProtection="0"/>
    <xf numFmtId="0" fontId="22" fillId="0" borderId="6"/>
    <xf numFmtId="9" fontId="28" fillId="0" borderId="6" applyFont="0" applyFill="0" applyBorder="0" applyAlignment="0" applyProtection="0"/>
    <xf numFmtId="44" fontId="48" fillId="0" borderId="0" applyFont="0" applyFill="0" applyBorder="0" applyAlignment="0" applyProtection="0"/>
    <xf numFmtId="9" fontId="22" fillId="0" borderId="6" applyFont="0" applyFill="0" applyBorder="0" applyAlignment="0" applyProtection="0"/>
    <xf numFmtId="44" fontId="22" fillId="0" borderId="6" applyFont="0" applyFill="0" applyBorder="0" applyAlignment="0" applyProtection="0"/>
    <xf numFmtId="43" fontId="22" fillId="0" borderId="6" applyFont="0" applyFill="0" applyBorder="0" applyAlignment="0" applyProtection="0"/>
  </cellStyleXfs>
  <cellXfs count="712">
    <xf numFmtId="0" fontId="0" fillId="0" borderId="0" xfId="0"/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2" fontId="4" fillId="0" borderId="0" xfId="0" applyNumberFormat="1" applyFont="1"/>
    <xf numFmtId="49" fontId="4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left"/>
    </xf>
    <xf numFmtId="0" fontId="5" fillId="0" borderId="0" xfId="0" applyFont="1"/>
    <xf numFmtId="166" fontId="5" fillId="0" borderId="0" xfId="0" applyNumberFormat="1" applyFont="1"/>
    <xf numFmtId="0" fontId="5" fillId="0" borderId="0" xfId="0" applyFont="1" applyAlignment="1">
      <alignment horizontal="left"/>
    </xf>
    <xf numFmtId="1" fontId="4" fillId="2" borderId="3" xfId="0" applyNumberFormat="1" applyFont="1" applyFill="1" applyBorder="1" applyAlignment="1">
      <alignment horizontal="left"/>
    </xf>
    <xf numFmtId="2" fontId="5" fillId="0" borderId="3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7" fontId="7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/>
    <xf numFmtId="1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2" fontId="4" fillId="2" borderId="7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8" fontId="8" fillId="0" borderId="0" xfId="0" applyNumberFormat="1" applyFont="1"/>
    <xf numFmtId="2" fontId="1" fillId="0" borderId="0" xfId="0" applyNumberFormat="1" applyFont="1" applyAlignment="1">
      <alignment horizontal="left"/>
    </xf>
    <xf numFmtId="168" fontId="8" fillId="0" borderId="0" xfId="0" applyNumberFormat="1" applyFont="1" applyAlignment="1">
      <alignment horizontal="left"/>
    </xf>
    <xf numFmtId="2" fontId="4" fillId="2" borderId="8" xfId="0" applyNumberFormat="1" applyFont="1" applyFill="1" applyBorder="1" applyAlignment="1">
      <alignment horizontal="center"/>
    </xf>
    <xf numFmtId="169" fontId="1" fillId="2" borderId="3" xfId="0" applyNumberFormat="1" applyFont="1" applyFill="1" applyBorder="1" applyAlignment="1">
      <alignment horizontal="left" vertical="top" wrapText="1"/>
    </xf>
    <xf numFmtId="168" fontId="5" fillId="0" borderId="0" xfId="0" applyNumberFormat="1" applyFont="1"/>
    <xf numFmtId="168" fontId="1" fillId="0" borderId="0" xfId="0" applyNumberFormat="1" applyFont="1" applyAlignment="1">
      <alignment horizontal="center"/>
    </xf>
    <xf numFmtId="170" fontId="5" fillId="0" borderId="9" xfId="0" applyNumberFormat="1" applyFont="1" applyBorder="1" applyAlignment="1">
      <alignment horizontal="center"/>
    </xf>
    <xf numFmtId="168" fontId="3" fillId="0" borderId="11" xfId="0" applyNumberFormat="1" applyFont="1" applyBorder="1" applyAlignment="1">
      <alignment horizontal="left"/>
    </xf>
    <xf numFmtId="2" fontId="1" fillId="2" borderId="3" xfId="0" applyNumberFormat="1" applyFont="1" applyFill="1" applyBorder="1" applyAlignment="1">
      <alignment vertical="top" wrapText="1"/>
    </xf>
    <xf numFmtId="168" fontId="9" fillId="0" borderId="0" xfId="0" applyNumberFormat="1" applyFont="1" applyAlignment="1">
      <alignment horizontal="left"/>
    </xf>
    <xf numFmtId="2" fontId="1" fillId="2" borderId="3" xfId="0" applyNumberFormat="1" applyFont="1" applyFill="1" applyBorder="1" applyAlignment="1">
      <alignment horizontal="left" vertical="top" wrapText="1"/>
    </xf>
    <xf numFmtId="170" fontId="5" fillId="0" borderId="12" xfId="0" applyNumberFormat="1" applyFont="1" applyBorder="1" applyAlignment="1">
      <alignment horizontal="center"/>
    </xf>
    <xf numFmtId="166" fontId="1" fillId="2" borderId="3" xfId="0" applyNumberFormat="1" applyFont="1" applyFill="1" applyBorder="1" applyAlignment="1">
      <alignment horizontal="center" vertical="top" wrapText="1"/>
    </xf>
    <xf numFmtId="3" fontId="10" fillId="2" borderId="3" xfId="0" applyNumberFormat="1" applyFont="1" applyFill="1" applyBorder="1" applyAlignment="1">
      <alignment horizontal="right" vertical="top" wrapText="1"/>
    </xf>
    <xf numFmtId="171" fontId="10" fillId="2" borderId="3" xfId="0" applyNumberFormat="1" applyFont="1" applyFill="1" applyBorder="1" applyAlignment="1">
      <alignment horizontal="right" vertical="top" wrapText="1"/>
    </xf>
    <xf numFmtId="172" fontId="5" fillId="0" borderId="0" xfId="0" applyNumberFormat="1" applyFont="1" applyAlignment="1">
      <alignment horizontal="left"/>
    </xf>
    <xf numFmtId="171" fontId="1" fillId="2" borderId="3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4" fillId="2" borderId="14" xfId="0" applyFont="1" applyFill="1" applyBorder="1"/>
    <xf numFmtId="0" fontId="1" fillId="0" borderId="3" xfId="0" applyFont="1" applyBorder="1" applyAlignment="1">
      <alignment horizontal="left"/>
    </xf>
    <xf numFmtId="166" fontId="1" fillId="0" borderId="3" xfId="0" applyNumberFormat="1" applyFont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70" fontId="5" fillId="0" borderId="16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right"/>
    </xf>
    <xf numFmtId="171" fontId="1" fillId="0" borderId="3" xfId="0" applyNumberFormat="1" applyFont="1" applyBorder="1" applyAlignment="1">
      <alignment horizontal="center"/>
    </xf>
    <xf numFmtId="173" fontId="1" fillId="0" borderId="3" xfId="0" applyNumberFormat="1" applyFont="1" applyBorder="1" applyAlignment="1">
      <alignment horizontal="center"/>
    </xf>
    <xf numFmtId="0" fontId="11" fillId="0" borderId="0" xfId="0" applyFont="1"/>
    <xf numFmtId="174" fontId="1" fillId="0" borderId="0" xfId="0" applyNumberFormat="1" applyFont="1" applyAlignment="1">
      <alignment horizontal="right"/>
    </xf>
    <xf numFmtId="174" fontId="1" fillId="0" borderId="0" xfId="0" applyNumberFormat="1" applyFont="1" applyAlignment="1">
      <alignment horizontal="left"/>
    </xf>
    <xf numFmtId="175" fontId="8" fillId="0" borderId="0" xfId="0" applyNumberFormat="1" applyFont="1" applyAlignment="1">
      <alignment horizontal="left" vertical="top"/>
    </xf>
    <xf numFmtId="1" fontId="1" fillId="3" borderId="18" xfId="0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left"/>
    </xf>
    <xf numFmtId="166" fontId="1" fillId="0" borderId="3" xfId="0" applyNumberFormat="1" applyFont="1" applyBorder="1" applyAlignment="1">
      <alignment horizontal="center"/>
    </xf>
    <xf numFmtId="177" fontId="12" fillId="0" borderId="0" xfId="0" applyNumberFormat="1" applyFont="1" applyAlignment="1">
      <alignment horizontal="center"/>
    </xf>
    <xf numFmtId="10" fontId="10" fillId="0" borderId="3" xfId="0" applyNumberFormat="1" applyFont="1" applyBorder="1" applyAlignment="1">
      <alignment horizontal="right"/>
    </xf>
    <xf numFmtId="43" fontId="1" fillId="0" borderId="0" xfId="0" applyNumberFormat="1" applyFont="1"/>
    <xf numFmtId="171" fontId="1" fillId="0" borderId="3" xfId="0" applyNumberFormat="1" applyFont="1" applyBorder="1" applyAlignment="1">
      <alignment horizontal="left"/>
    </xf>
    <xf numFmtId="178" fontId="11" fillId="0" borderId="0" xfId="0" applyNumberFormat="1" applyFont="1"/>
    <xf numFmtId="10" fontId="1" fillId="0" borderId="0" xfId="0" applyNumberFormat="1" applyFont="1" applyAlignment="1">
      <alignment horizontal="center"/>
    </xf>
    <xf numFmtId="0" fontId="11" fillId="0" borderId="3" xfId="0" applyFont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74" fontId="1" fillId="0" borderId="11" xfId="0" applyNumberFormat="1" applyFont="1" applyBorder="1" applyAlignment="1">
      <alignment horizontal="left"/>
    </xf>
    <xf numFmtId="0" fontId="1" fillId="2" borderId="3" xfId="0" applyFont="1" applyFill="1" applyBorder="1"/>
    <xf numFmtId="49" fontId="12" fillId="0" borderId="0" xfId="0" applyNumberFormat="1" applyFont="1" applyAlignment="1">
      <alignment horizontal="left"/>
    </xf>
    <xf numFmtId="43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168" fontId="12" fillId="0" borderId="0" xfId="0" applyNumberFormat="1" applyFont="1" applyAlignment="1">
      <alignment horizontal="left"/>
    </xf>
    <xf numFmtId="2" fontId="1" fillId="0" borderId="0" xfId="0" applyNumberFormat="1" applyFont="1"/>
    <xf numFmtId="39" fontId="1" fillId="0" borderId="0" xfId="0" applyNumberFormat="1" applyFont="1" applyAlignment="1">
      <alignment horizontal="left"/>
    </xf>
    <xf numFmtId="174" fontId="12" fillId="0" borderId="0" xfId="0" applyNumberFormat="1" applyFont="1" applyAlignment="1">
      <alignment horizontal="left"/>
    </xf>
    <xf numFmtId="174" fontId="1" fillId="0" borderId="0" xfId="0" applyNumberFormat="1" applyFont="1"/>
    <xf numFmtId="164" fontId="1" fillId="0" borderId="0" xfId="0" applyNumberFormat="1" applyFont="1"/>
    <xf numFmtId="166" fontId="11" fillId="0" borderId="3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0" fontId="13" fillId="0" borderId="0" xfId="0" applyFont="1"/>
    <xf numFmtId="168" fontId="1" fillId="0" borderId="0" xfId="0" applyNumberFormat="1" applyFont="1" applyAlignment="1">
      <alignment horizontal="left"/>
    </xf>
    <xf numFmtId="43" fontId="13" fillId="0" borderId="0" xfId="0" applyNumberFormat="1" applyFont="1"/>
    <xf numFmtId="168" fontId="1" fillId="0" borderId="0" xfId="0" applyNumberFormat="1" applyFont="1"/>
    <xf numFmtId="166" fontId="11" fillId="4" borderId="3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4" fontId="13" fillId="0" borderId="0" xfId="0" applyNumberFormat="1" applyFont="1"/>
    <xf numFmtId="49" fontId="12" fillId="0" borderId="0" xfId="0" applyNumberFormat="1" applyFont="1"/>
    <xf numFmtId="49" fontId="1" fillId="0" borderId="0" xfId="0" applyNumberFormat="1" applyFont="1"/>
    <xf numFmtId="10" fontId="1" fillId="0" borderId="0" xfId="0" applyNumberFormat="1" applyFont="1" applyAlignment="1">
      <alignment horizontal="left"/>
    </xf>
    <xf numFmtId="49" fontId="4" fillId="2" borderId="14" xfId="0" applyNumberFormat="1" applyFont="1" applyFill="1" applyBorder="1"/>
    <xf numFmtId="0" fontId="8" fillId="2" borderId="15" xfId="0" applyFont="1" applyFill="1" applyBorder="1" applyAlignment="1">
      <alignment horizontal="left"/>
    </xf>
    <xf numFmtId="49" fontId="14" fillId="0" borderId="0" xfId="0" applyNumberFormat="1" applyFont="1"/>
    <xf numFmtId="175" fontId="8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68" fontId="1" fillId="0" borderId="3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left"/>
    </xf>
    <xf numFmtId="168" fontId="11" fillId="0" borderId="0" xfId="0" applyNumberFormat="1" applyFont="1" applyAlignment="1">
      <alignment horizontal="left"/>
    </xf>
    <xf numFmtId="175" fontId="8" fillId="0" borderId="0" xfId="0" applyNumberFormat="1" applyFont="1" applyAlignment="1">
      <alignment horizontal="center" vertical="center"/>
    </xf>
    <xf numFmtId="175" fontId="8" fillId="0" borderId="0" xfId="0" applyNumberFormat="1" applyFont="1" applyAlignment="1">
      <alignment horizontal="left" vertical="center"/>
    </xf>
    <xf numFmtId="178" fontId="1" fillId="0" borderId="0" xfId="0" applyNumberFormat="1" applyFont="1" applyAlignment="1">
      <alignment horizontal="center"/>
    </xf>
    <xf numFmtId="179" fontId="1" fillId="0" borderId="0" xfId="0" applyNumberFormat="1" applyFont="1"/>
    <xf numFmtId="0" fontId="15" fillId="0" borderId="0" xfId="0" applyFont="1"/>
    <xf numFmtId="43" fontId="1" fillId="0" borderId="0" xfId="0" applyNumberFormat="1" applyFont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1" fontId="1" fillId="3" borderId="22" xfId="0" applyNumberFormat="1" applyFont="1" applyFill="1" applyBorder="1" applyAlignment="1">
      <alignment horizontal="center"/>
    </xf>
    <xf numFmtId="2" fontId="1" fillId="0" borderId="3" xfId="0" applyNumberFormat="1" applyFont="1" applyBorder="1"/>
    <xf numFmtId="0" fontId="1" fillId="0" borderId="3" xfId="0" applyFont="1" applyBorder="1"/>
    <xf numFmtId="180" fontId="1" fillId="0" borderId="3" xfId="0" applyNumberFormat="1" applyFont="1" applyBorder="1" applyAlignment="1">
      <alignment horizontal="center"/>
    </xf>
    <xf numFmtId="165" fontId="1" fillId="0" borderId="0" xfId="0" applyNumberFormat="1" applyFont="1"/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2" fillId="0" borderId="0" xfId="0" applyNumberFormat="1" applyFont="1"/>
    <xf numFmtId="2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181" fontId="13" fillId="0" borderId="0" xfId="0" applyNumberFormat="1" applyFont="1"/>
    <xf numFmtId="2" fontId="13" fillId="0" borderId="0" xfId="0" applyNumberFormat="1" applyFont="1"/>
    <xf numFmtId="0" fontId="16" fillId="0" borderId="0" xfId="0" applyFont="1"/>
    <xf numFmtId="2" fontId="17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left"/>
    </xf>
    <xf numFmtId="2" fontId="1" fillId="2" borderId="23" xfId="0" applyNumberFormat="1" applyFont="1" applyFill="1" applyBorder="1" applyAlignment="1">
      <alignment vertical="top" wrapText="1"/>
    </xf>
    <xf numFmtId="2" fontId="1" fillId="2" borderId="23" xfId="0" applyNumberFormat="1" applyFont="1" applyFill="1" applyBorder="1" applyAlignment="1">
      <alignment horizontal="center" vertical="top" wrapText="1"/>
    </xf>
    <xf numFmtId="2" fontId="1" fillId="2" borderId="23" xfId="0" applyNumberFormat="1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vertical="top" wrapText="1"/>
    </xf>
    <xf numFmtId="1" fontId="1" fillId="2" borderId="23" xfId="0" applyNumberFormat="1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165" fontId="10" fillId="2" borderId="23" xfId="0" applyNumberFormat="1" applyFont="1" applyFill="1" applyBorder="1" applyAlignment="1">
      <alignment horizontal="center" vertical="top" wrapText="1"/>
    </xf>
    <xf numFmtId="165" fontId="10" fillId="5" borderId="23" xfId="0" applyNumberFormat="1" applyFont="1" applyFill="1" applyBorder="1" applyAlignment="1">
      <alignment horizontal="center" vertical="top" wrapText="1"/>
    </xf>
    <xf numFmtId="181" fontId="10" fillId="2" borderId="23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182" fontId="1" fillId="0" borderId="3" xfId="0" applyNumberFormat="1" applyFont="1" applyBorder="1" applyAlignment="1">
      <alignment horizontal="left"/>
    </xf>
    <xf numFmtId="183" fontId="1" fillId="0" borderId="3" xfId="0" applyNumberFormat="1" applyFont="1" applyBorder="1" applyAlignment="1">
      <alignment horizontal="left"/>
    </xf>
    <xf numFmtId="1" fontId="18" fillId="0" borderId="3" xfId="0" applyNumberFormat="1" applyFont="1" applyBorder="1" applyAlignment="1">
      <alignment horizontal="left"/>
    </xf>
    <xf numFmtId="165" fontId="10" fillId="0" borderId="3" xfId="0" applyNumberFormat="1" applyFont="1" applyBorder="1" applyAlignment="1">
      <alignment horizontal="left"/>
    </xf>
    <xf numFmtId="181" fontId="10" fillId="0" borderId="3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43" fontId="10" fillId="0" borderId="0" xfId="0" applyNumberFormat="1" applyFont="1" applyAlignment="1">
      <alignment horizontal="left"/>
    </xf>
    <xf numFmtId="0" fontId="10" fillId="0" borderId="0" xfId="0" applyFont="1"/>
    <xf numFmtId="2" fontId="4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86" fontId="1" fillId="0" borderId="3" xfId="0" applyNumberFormat="1" applyFont="1" applyBorder="1" applyAlignment="1">
      <alignment horizontal="center"/>
    </xf>
    <xf numFmtId="4" fontId="1" fillId="0" borderId="0" xfId="0" applyNumberFormat="1" applyFont="1"/>
    <xf numFmtId="0" fontId="12" fillId="0" borderId="0" xfId="0" applyFont="1"/>
    <xf numFmtId="0" fontId="12" fillId="2" borderId="15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168" fontId="11" fillId="0" borderId="0" xfId="0" applyNumberFormat="1" applyFont="1" applyAlignment="1">
      <alignment horizontal="center"/>
    </xf>
    <xf numFmtId="0" fontId="15" fillId="0" borderId="3" xfId="0" applyFont="1" applyBorder="1" applyAlignment="1">
      <alignment horizontal="center"/>
    </xf>
    <xf numFmtId="2" fontId="19" fillId="0" borderId="0" xfId="0" applyNumberFormat="1" applyFont="1"/>
    <xf numFmtId="10" fontId="15" fillId="0" borderId="3" xfId="0" applyNumberFormat="1" applyFont="1" applyBorder="1" applyAlignment="1">
      <alignment horizontal="center"/>
    </xf>
    <xf numFmtId="0" fontId="20" fillId="0" borderId="0" xfId="0" applyFont="1"/>
    <xf numFmtId="2" fontId="4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vertical="center"/>
    </xf>
    <xf numFmtId="2" fontId="8" fillId="0" borderId="0" xfId="0" applyNumberFormat="1" applyFont="1"/>
    <xf numFmtId="0" fontId="4" fillId="2" borderId="14" xfId="0" applyFont="1" applyFill="1" applyBorder="1" applyAlignment="1">
      <alignment horizontal="left" vertical="center"/>
    </xf>
    <xf numFmtId="168" fontId="15" fillId="0" borderId="0" xfId="0" applyNumberFormat="1" applyFont="1"/>
    <xf numFmtId="2" fontId="15" fillId="0" borderId="0" xfId="0" applyNumberFormat="1" applyFont="1" applyAlignment="1">
      <alignment horizontal="center"/>
    </xf>
    <xf numFmtId="39" fontId="15" fillId="0" borderId="0" xfId="0" applyNumberFormat="1" applyFont="1"/>
    <xf numFmtId="168" fontId="15" fillId="0" borderId="0" xfId="0" applyNumberFormat="1" applyFont="1" applyAlignment="1">
      <alignment horizontal="center"/>
    </xf>
    <xf numFmtId="189" fontId="5" fillId="0" borderId="0" xfId="0" applyNumberFormat="1" applyFont="1" applyAlignment="1">
      <alignment horizontal="left"/>
    </xf>
    <xf numFmtId="0" fontId="19" fillId="2" borderId="15" xfId="0" applyFont="1" applyFill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181" fontId="15" fillId="0" borderId="0" xfId="0" applyNumberFormat="1" applyFont="1"/>
    <xf numFmtId="1" fontId="1" fillId="3" borderId="30" xfId="0" applyNumberFormat="1" applyFont="1" applyFill="1" applyBorder="1" applyAlignment="1">
      <alignment horizontal="center"/>
    </xf>
    <xf numFmtId="1" fontId="1" fillId="3" borderId="31" xfId="0" applyNumberFormat="1" applyFont="1" applyFill="1" applyBorder="1" applyAlignment="1">
      <alignment horizontal="center"/>
    </xf>
    <xf numFmtId="10" fontId="1" fillId="6" borderId="3" xfId="1" applyNumberFormat="1" applyFont="1" applyFill="1" applyBorder="1" applyAlignment="1">
      <alignment horizontal="right"/>
    </xf>
    <xf numFmtId="4" fontId="1" fillId="6" borderId="3" xfId="0" applyNumberFormat="1" applyFont="1" applyFill="1" applyBorder="1" applyAlignment="1">
      <alignment horizontal="right"/>
    </xf>
    <xf numFmtId="190" fontId="0" fillId="0" borderId="0" xfId="0" applyNumberFormat="1"/>
    <xf numFmtId="0" fontId="12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37" xfId="0" applyFont="1" applyFill="1" applyBorder="1" applyAlignment="1">
      <alignment horizontal="left" vertical="top" wrapText="1"/>
    </xf>
    <xf numFmtId="0" fontId="23" fillId="0" borderId="0" xfId="0" applyFont="1"/>
    <xf numFmtId="0" fontId="24" fillId="0" borderId="0" xfId="0" applyFont="1"/>
    <xf numFmtId="0" fontId="24" fillId="0" borderId="35" xfId="0" applyFont="1" applyBorder="1"/>
    <xf numFmtId="0" fontId="24" fillId="0" borderId="6" xfId="0" applyFont="1" applyBorder="1"/>
    <xf numFmtId="0" fontId="24" fillId="0" borderId="36" xfId="0" applyFont="1" applyBorder="1"/>
    <xf numFmtId="3" fontId="1" fillId="0" borderId="38" xfId="0" applyNumberFormat="1" applyFont="1" applyBorder="1" applyAlignment="1">
      <alignment horizontal="center"/>
    </xf>
    <xf numFmtId="168" fontId="1" fillId="0" borderId="38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2" fontId="10" fillId="2" borderId="2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77" fontId="12" fillId="0" borderId="6" xfId="0" applyNumberFormat="1" applyFont="1" applyBorder="1" applyAlignment="1">
      <alignment horizontal="center"/>
    </xf>
    <xf numFmtId="10" fontId="1" fillId="0" borderId="3" xfId="1" applyNumberFormat="1" applyFont="1" applyBorder="1" applyAlignment="1">
      <alignment horizontal="center"/>
    </xf>
    <xf numFmtId="166" fontId="11" fillId="7" borderId="3" xfId="0" applyNumberFormat="1" applyFont="1" applyFill="1" applyBorder="1" applyAlignment="1">
      <alignment horizontal="center"/>
    </xf>
    <xf numFmtId="43" fontId="12" fillId="8" borderId="38" xfId="0" applyNumberFormat="1" applyFont="1" applyFill="1" applyBorder="1" applyAlignment="1">
      <alignment horizontal="center"/>
    </xf>
    <xf numFmtId="2" fontId="1" fillId="0" borderId="15" xfId="0" applyNumberFormat="1" applyFont="1" applyBorder="1"/>
    <xf numFmtId="1" fontId="1" fillId="3" borderId="39" xfId="0" applyNumberFormat="1" applyFont="1" applyFill="1" applyBorder="1" applyAlignment="1">
      <alignment horizontal="center"/>
    </xf>
    <xf numFmtId="1" fontId="1" fillId="3" borderId="40" xfId="0" applyNumberFormat="1" applyFont="1" applyFill="1" applyBorder="1" applyAlignment="1">
      <alignment horizontal="center"/>
    </xf>
    <xf numFmtId="1" fontId="1" fillId="3" borderId="41" xfId="0" applyNumberFormat="1" applyFont="1" applyFill="1" applyBorder="1" applyAlignment="1">
      <alignment horizontal="center"/>
    </xf>
    <xf numFmtId="0" fontId="1" fillId="0" borderId="3" xfId="0" quotePrefix="1" applyFont="1" applyBorder="1" applyAlignment="1">
      <alignment horizontal="left"/>
    </xf>
    <xf numFmtId="168" fontId="25" fillId="0" borderId="0" xfId="0" applyNumberFormat="1" applyFont="1"/>
    <xf numFmtId="43" fontId="12" fillId="0" borderId="6" xfId="0" applyNumberFormat="1" applyFont="1" applyBorder="1" applyAlignment="1">
      <alignment horizontal="left"/>
    </xf>
    <xf numFmtId="176" fontId="1" fillId="0" borderId="3" xfId="0" applyNumberFormat="1" applyFont="1" applyBorder="1" applyAlignment="1">
      <alignment horizontal="left"/>
    </xf>
    <xf numFmtId="0" fontId="10" fillId="8" borderId="3" xfId="0" applyFont="1" applyFill="1" applyBorder="1" applyAlignment="1">
      <alignment horizontal="center"/>
    </xf>
    <xf numFmtId="2" fontId="5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3" fontId="19" fillId="0" borderId="3" xfId="0" applyNumberFormat="1" applyFont="1" applyBorder="1" applyAlignment="1">
      <alignment horizontal="center"/>
    </xf>
    <xf numFmtId="3" fontId="19" fillId="0" borderId="3" xfId="0" applyNumberFormat="1" applyFont="1" applyBorder="1"/>
    <xf numFmtId="0" fontId="10" fillId="0" borderId="14" xfId="0" applyFont="1" applyBorder="1" applyAlignment="1">
      <alignment horizontal="left"/>
    </xf>
    <xf numFmtId="2" fontId="8" fillId="0" borderId="38" xfId="0" applyNumberFormat="1" applyFont="1" applyBorder="1"/>
    <xf numFmtId="1" fontId="1" fillId="0" borderId="15" xfId="0" applyNumberFormat="1" applyFont="1" applyBorder="1" applyAlignment="1">
      <alignment horizontal="left"/>
    </xf>
    <xf numFmtId="182" fontId="1" fillId="0" borderId="3" xfId="0" quotePrefix="1" applyNumberFormat="1" applyFont="1" applyBorder="1" applyAlignment="1">
      <alignment horizontal="left"/>
    </xf>
    <xf numFmtId="2" fontId="11" fillId="0" borderId="15" xfId="0" applyNumberFormat="1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176" fontId="11" fillId="0" borderId="25" xfId="0" applyNumberFormat="1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2" fontId="11" fillId="0" borderId="29" xfId="0" applyNumberFormat="1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176" fontId="11" fillId="0" borderId="11" xfId="0" applyNumberFormat="1" applyFont="1" applyBorder="1" applyAlignment="1">
      <alignment horizontal="left"/>
    </xf>
    <xf numFmtId="0" fontId="33" fillId="0" borderId="6" xfId="3" applyFont="1" applyAlignment="1">
      <alignment vertical="center"/>
    </xf>
    <xf numFmtId="0" fontId="33" fillId="0" borderId="6" xfId="2" applyFont="1" applyAlignment="1" applyProtection="1">
      <alignment vertical="center"/>
      <protection hidden="1"/>
    </xf>
    <xf numFmtId="2" fontId="33" fillId="0" borderId="6" xfId="3" applyNumberFormat="1" applyFont="1" applyAlignment="1">
      <alignment vertical="center"/>
    </xf>
    <xf numFmtId="2" fontId="33" fillId="0" borderId="6" xfId="2" applyNumberFormat="1" applyFont="1" applyAlignment="1" applyProtection="1">
      <alignment vertical="center"/>
      <protection hidden="1"/>
    </xf>
    <xf numFmtId="0" fontId="36" fillId="0" borderId="6" xfId="2" applyFont="1" applyAlignment="1" applyProtection="1">
      <alignment horizontal="right" vertical="center"/>
      <protection hidden="1"/>
    </xf>
    <xf numFmtId="2" fontId="34" fillId="0" borderId="6" xfId="2" applyNumberFormat="1" applyFont="1" applyAlignment="1" applyProtection="1">
      <alignment vertical="center"/>
      <protection hidden="1"/>
    </xf>
    <xf numFmtId="0" fontId="34" fillId="0" borderId="6" xfId="2" applyFont="1" applyAlignment="1" applyProtection="1">
      <alignment horizontal="right" vertical="center"/>
      <protection hidden="1"/>
    </xf>
    <xf numFmtId="0" fontId="34" fillId="0" borderId="6" xfId="2" applyFont="1" applyAlignment="1" applyProtection="1">
      <alignment vertical="center"/>
      <protection hidden="1"/>
    </xf>
    <xf numFmtId="0" fontId="38" fillId="0" borderId="46" xfId="2" applyFont="1" applyBorder="1" applyAlignment="1" applyProtection="1">
      <alignment horizontal="left" vertical="center"/>
      <protection hidden="1"/>
    </xf>
    <xf numFmtId="0" fontId="38" fillId="0" borderId="6" xfId="2" applyFont="1" applyAlignment="1" applyProtection="1">
      <alignment horizontal="left" vertical="center"/>
      <protection hidden="1"/>
    </xf>
    <xf numFmtId="168" fontId="39" fillId="0" borderId="38" xfId="2" applyNumberFormat="1" applyFont="1" applyBorder="1" applyAlignment="1" applyProtection="1">
      <alignment horizontal="left" vertical="center"/>
      <protection hidden="1"/>
    </xf>
    <xf numFmtId="0" fontId="33" fillId="0" borderId="43" xfId="6" applyFont="1" applyBorder="1" applyAlignment="1" applyProtection="1">
      <alignment vertical="center"/>
      <protection hidden="1"/>
    </xf>
    <xf numFmtId="0" fontId="35" fillId="0" borderId="43" xfId="2" applyFont="1" applyBorder="1" applyAlignment="1" applyProtection="1">
      <alignment vertical="center"/>
      <protection hidden="1"/>
    </xf>
    <xf numFmtId="9" fontId="37" fillId="15" borderId="45" xfId="2" applyNumberFormat="1" applyFont="1" applyFill="1" applyBorder="1" applyAlignment="1" applyProtection="1">
      <alignment vertical="center"/>
      <protection hidden="1"/>
    </xf>
    <xf numFmtId="0" fontId="40" fillId="15" borderId="38" xfId="2" applyFont="1" applyFill="1" applyBorder="1" applyAlignment="1" applyProtection="1">
      <alignment horizontal="left" vertical="center"/>
      <protection hidden="1"/>
    </xf>
    <xf numFmtId="0" fontId="39" fillId="0" borderId="38" xfId="2" applyFont="1" applyBorder="1" applyAlignment="1" applyProtection="1">
      <alignment horizontal="left" vertical="center"/>
      <protection hidden="1"/>
    </xf>
    <xf numFmtId="2" fontId="39" fillId="12" borderId="38" xfId="2" applyNumberFormat="1" applyFont="1" applyFill="1" applyBorder="1" applyAlignment="1" applyProtection="1">
      <alignment horizontal="right" vertical="center"/>
      <protection hidden="1"/>
    </xf>
    <xf numFmtId="178" fontId="41" fillId="0" borderId="6" xfId="2" applyNumberFormat="1" applyFont="1" applyAlignment="1" applyProtection="1">
      <alignment vertical="center"/>
      <protection hidden="1"/>
    </xf>
    <xf numFmtId="0" fontId="35" fillId="0" borderId="38" xfId="2" applyFont="1" applyBorder="1" applyAlignment="1" applyProtection="1">
      <alignment vertical="center"/>
      <protection hidden="1"/>
    </xf>
    <xf numFmtId="2" fontId="35" fillId="0" borderId="38" xfId="2" applyNumberFormat="1" applyFont="1" applyBorder="1" applyAlignment="1" applyProtection="1">
      <alignment vertical="center"/>
      <protection hidden="1"/>
    </xf>
    <xf numFmtId="178" fontId="33" fillId="0" borderId="6" xfId="2" applyNumberFormat="1" applyFont="1" applyAlignment="1" applyProtection="1">
      <alignment vertical="center"/>
      <protection hidden="1"/>
    </xf>
    <xf numFmtId="0" fontId="38" fillId="0" borderId="38" xfId="2" applyFont="1" applyBorder="1" applyAlignment="1" applyProtection="1">
      <alignment vertical="center"/>
      <protection hidden="1"/>
    </xf>
    <xf numFmtId="0" fontId="33" fillId="0" borderId="38" xfId="3" applyFont="1" applyBorder="1" applyAlignment="1">
      <alignment vertical="center"/>
    </xf>
    <xf numFmtId="2" fontId="39" fillId="8" borderId="38" xfId="2" applyNumberFormat="1" applyFont="1" applyFill="1" applyBorder="1" applyAlignment="1" applyProtection="1">
      <alignment horizontal="right" vertical="center"/>
      <protection hidden="1"/>
    </xf>
    <xf numFmtId="0" fontId="42" fillId="0" borderId="38" xfId="2" applyFont="1" applyBorder="1" applyAlignment="1" applyProtection="1">
      <alignment vertical="center"/>
      <protection hidden="1"/>
    </xf>
    <xf numFmtId="0" fontId="33" fillId="0" borderId="38" xfId="2" applyFont="1" applyBorder="1" applyAlignment="1" applyProtection="1">
      <alignment vertical="center"/>
      <protection hidden="1"/>
    </xf>
    <xf numFmtId="10" fontId="39" fillId="0" borderId="38" xfId="8" applyNumberFormat="1" applyFont="1" applyFill="1" applyBorder="1" applyAlignment="1" applyProtection="1">
      <alignment vertical="center"/>
      <protection hidden="1"/>
    </xf>
    <xf numFmtId="185" fontId="33" fillId="0" borderId="6" xfId="2" applyNumberFormat="1" applyFont="1" applyAlignment="1" applyProtection="1">
      <alignment horizontal="right" vertical="center"/>
      <protection hidden="1"/>
    </xf>
    <xf numFmtId="10" fontId="35" fillId="0" borderId="38" xfId="8" applyNumberFormat="1" applyFont="1" applyFill="1" applyBorder="1" applyAlignment="1" applyProtection="1">
      <alignment vertical="center"/>
      <protection hidden="1"/>
    </xf>
    <xf numFmtId="0" fontId="33" fillId="0" borderId="6" xfId="2" applyFont="1" applyAlignment="1" applyProtection="1">
      <alignment horizontal="right" vertical="center"/>
      <protection hidden="1"/>
    </xf>
    <xf numFmtId="2" fontId="41" fillId="0" borderId="6" xfId="3" applyNumberFormat="1" applyFont="1" applyAlignment="1">
      <alignment horizontal="center" vertical="center"/>
    </xf>
    <xf numFmtId="177" fontId="41" fillId="0" borderId="6" xfId="3" applyNumberFormat="1" applyFont="1" applyAlignment="1">
      <alignment horizontal="center" vertical="center"/>
    </xf>
    <xf numFmtId="177" fontId="41" fillId="0" borderId="48" xfId="3" applyNumberFormat="1" applyFont="1" applyBorder="1" applyAlignment="1">
      <alignment horizontal="center" vertical="center"/>
    </xf>
    <xf numFmtId="177" fontId="41" fillId="0" borderId="49" xfId="3" applyNumberFormat="1" applyFont="1" applyBorder="1" applyAlignment="1">
      <alignment horizontal="center" vertical="center"/>
    </xf>
    <xf numFmtId="191" fontId="33" fillId="10" borderId="43" xfId="7" applyFont="1" applyFill="1" applyBorder="1" applyAlignment="1" applyProtection="1">
      <alignment vertical="center"/>
      <protection hidden="1"/>
    </xf>
    <xf numFmtId="191" fontId="33" fillId="10" borderId="38" xfId="7" applyFont="1" applyFill="1" applyBorder="1" applyAlignment="1" applyProtection="1">
      <alignment vertical="center"/>
      <protection hidden="1"/>
    </xf>
    <xf numFmtId="177" fontId="32" fillId="0" borderId="49" xfId="3" applyNumberFormat="1" applyFont="1" applyBorder="1" applyAlignment="1">
      <alignment horizontal="center" vertical="center"/>
    </xf>
    <xf numFmtId="177" fontId="45" fillId="0" borderId="49" xfId="3" applyNumberFormat="1" applyFont="1" applyBorder="1" applyAlignment="1">
      <alignment horizontal="center" vertical="center"/>
    </xf>
    <xf numFmtId="177" fontId="33" fillId="0" borderId="47" xfId="3" applyNumberFormat="1" applyFont="1" applyBorder="1" applyAlignment="1">
      <alignment horizontal="center" vertical="center"/>
    </xf>
    <xf numFmtId="1" fontId="35" fillId="0" borderId="38" xfId="2" applyNumberFormat="1" applyFont="1" applyBorder="1" applyAlignment="1" applyProtection="1">
      <alignment horizontal="center" vertical="center"/>
      <protection hidden="1"/>
    </xf>
    <xf numFmtId="2" fontId="33" fillId="0" borderId="43" xfId="2" applyNumberFormat="1" applyFont="1" applyBorder="1" applyAlignment="1" applyProtection="1">
      <alignment vertical="center"/>
      <protection hidden="1"/>
    </xf>
    <xf numFmtId="177" fontId="33" fillId="0" borderId="49" xfId="3" applyNumberFormat="1" applyFont="1" applyBorder="1" applyAlignment="1">
      <alignment horizontal="center" vertical="center"/>
    </xf>
    <xf numFmtId="0" fontId="33" fillId="0" borderId="6" xfId="3" applyFont="1" applyAlignment="1">
      <alignment horizontal="center" vertical="center"/>
    </xf>
    <xf numFmtId="177" fontId="33" fillId="0" borderId="6" xfId="3" applyNumberFormat="1" applyFont="1" applyAlignment="1">
      <alignment horizontal="center" vertical="center"/>
    </xf>
    <xf numFmtId="2" fontId="38" fillId="0" borderId="44" xfId="9" applyNumberFormat="1" applyFont="1" applyFill="1" applyBorder="1" applyAlignment="1" applyProtection="1">
      <alignment horizontal="center" vertical="center"/>
      <protection hidden="1"/>
    </xf>
    <xf numFmtId="2" fontId="38" fillId="0" borderId="45" xfId="9" applyNumberFormat="1" applyFont="1" applyFill="1" applyBorder="1" applyAlignment="1" applyProtection="1">
      <alignment horizontal="right" vertical="center"/>
      <protection hidden="1"/>
    </xf>
    <xf numFmtId="2" fontId="34" fillId="0" borderId="44" xfId="9" applyNumberFormat="1" applyFont="1" applyFill="1" applyBorder="1" applyAlignment="1" applyProtection="1">
      <alignment horizontal="left" vertical="center"/>
      <protection hidden="1"/>
    </xf>
    <xf numFmtId="2" fontId="36" fillId="0" borderId="45" xfId="9" applyNumberFormat="1" applyFont="1" applyFill="1" applyBorder="1" applyAlignment="1" applyProtection="1">
      <alignment horizontal="right" vertical="center"/>
      <protection hidden="1"/>
    </xf>
    <xf numFmtId="2" fontId="40" fillId="15" borderId="43" xfId="2" applyNumberFormat="1" applyFont="1" applyFill="1" applyBorder="1" applyAlignment="1" applyProtection="1">
      <alignment horizontal="left" vertical="center" wrapText="1"/>
      <protection hidden="1"/>
    </xf>
    <xf numFmtId="10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43" fontId="1" fillId="0" borderId="6" xfId="0" applyNumberFormat="1" applyFont="1" applyBorder="1"/>
    <xf numFmtId="174" fontId="1" fillId="0" borderId="6" xfId="0" applyNumberFormat="1" applyFont="1" applyBorder="1" applyAlignment="1">
      <alignment horizontal="left"/>
    </xf>
    <xf numFmtId="0" fontId="4" fillId="2" borderId="26" xfId="0" applyFont="1" applyFill="1" applyBorder="1"/>
    <xf numFmtId="0" fontId="4" fillId="2" borderId="28" xfId="0" applyFont="1" applyFill="1" applyBorder="1" applyAlignment="1">
      <alignment horizontal="left"/>
    </xf>
    <xf numFmtId="0" fontId="1" fillId="0" borderId="51" xfId="0" applyFont="1" applyBorder="1"/>
    <xf numFmtId="0" fontId="1" fillId="0" borderId="52" xfId="0" applyFont="1" applyBorder="1"/>
    <xf numFmtId="49" fontId="8" fillId="0" borderId="53" xfId="0" applyNumberFormat="1" applyFont="1" applyBorder="1" applyAlignment="1">
      <alignment horizontal="left" vertical="top"/>
    </xf>
    <xf numFmtId="0" fontId="1" fillId="0" borderId="6" xfId="0" applyFont="1" applyBorder="1"/>
    <xf numFmtId="0" fontId="8" fillId="0" borderId="6" xfId="0" applyFont="1" applyBorder="1" applyAlignment="1">
      <alignment horizontal="center" vertical="center"/>
    </xf>
    <xf numFmtId="0" fontId="8" fillId="0" borderId="49" xfId="0" applyFont="1" applyBorder="1" applyAlignment="1">
      <alignment horizontal="left" vertical="center"/>
    </xf>
    <xf numFmtId="49" fontId="12" fillId="0" borderId="53" xfId="0" applyNumberFormat="1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175" fontId="8" fillId="0" borderId="6" xfId="0" applyNumberFormat="1" applyFont="1" applyBorder="1" applyAlignment="1">
      <alignment horizontal="left" vertical="top"/>
    </xf>
    <xf numFmtId="175" fontId="1" fillId="0" borderId="6" xfId="0" applyNumberFormat="1" applyFont="1" applyBorder="1" applyAlignment="1">
      <alignment horizontal="left" vertical="top"/>
    </xf>
    <xf numFmtId="175" fontId="8" fillId="0" borderId="49" xfId="0" applyNumberFormat="1" applyFont="1" applyBorder="1" applyAlignment="1">
      <alignment horizontal="left" vertical="top"/>
    </xf>
    <xf numFmtId="49" fontId="3" fillId="0" borderId="53" xfId="0" applyNumberFormat="1" applyFont="1" applyBorder="1" applyAlignment="1">
      <alignment horizontal="left"/>
    </xf>
    <xf numFmtId="174" fontId="1" fillId="0" borderId="49" xfId="0" applyNumberFormat="1" applyFont="1" applyBorder="1" applyAlignment="1">
      <alignment horizontal="left"/>
    </xf>
    <xf numFmtId="49" fontId="11" fillId="0" borderId="53" xfId="0" applyNumberFormat="1" applyFont="1" applyBorder="1" applyAlignment="1">
      <alignment horizontal="left"/>
    </xf>
    <xf numFmtId="49" fontId="12" fillId="0" borderId="53" xfId="0" applyNumberFormat="1" applyFont="1" applyBorder="1" applyAlignment="1">
      <alignment horizontal="left"/>
    </xf>
    <xf numFmtId="10" fontId="12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168" fontId="12" fillId="0" borderId="49" xfId="0" applyNumberFormat="1" applyFont="1" applyBorder="1" applyAlignment="1">
      <alignment horizontal="left"/>
    </xf>
    <xf numFmtId="174" fontId="12" fillId="0" borderId="49" xfId="0" applyNumberFormat="1" applyFont="1" applyBorder="1" applyAlignment="1">
      <alignment horizontal="left"/>
    </xf>
    <xf numFmtId="0" fontId="8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/>
    </xf>
    <xf numFmtId="43" fontId="1" fillId="0" borderId="6" xfId="0" applyNumberFormat="1" applyFont="1" applyBorder="1" applyAlignment="1">
      <alignment horizontal="center"/>
    </xf>
    <xf numFmtId="49" fontId="12" fillId="0" borderId="54" xfId="0" applyNumberFormat="1" applyFont="1" applyBorder="1" applyAlignment="1">
      <alignment horizontal="left"/>
    </xf>
    <xf numFmtId="177" fontId="12" fillId="0" borderId="42" xfId="0" applyNumberFormat="1" applyFont="1" applyBorder="1" applyAlignment="1">
      <alignment horizontal="center"/>
    </xf>
    <xf numFmtId="43" fontId="12" fillId="0" borderId="42" xfId="0" applyNumberFormat="1" applyFont="1" applyBorder="1" applyAlignment="1">
      <alignment horizontal="center"/>
    </xf>
    <xf numFmtId="175" fontId="8" fillId="0" borderId="42" xfId="0" applyNumberFormat="1" applyFont="1" applyBorder="1" applyAlignment="1">
      <alignment horizontal="left" vertical="top"/>
    </xf>
    <xf numFmtId="177" fontId="12" fillId="0" borderId="42" xfId="1" applyNumberFormat="1" applyFont="1" applyBorder="1" applyAlignment="1">
      <alignment horizontal="center"/>
    </xf>
    <xf numFmtId="0" fontId="13" fillId="0" borderId="42" xfId="0" applyFont="1" applyBorder="1" applyAlignment="1">
      <alignment horizontal="left"/>
    </xf>
    <xf numFmtId="174" fontId="12" fillId="0" borderId="47" xfId="0" applyNumberFormat="1" applyFont="1" applyBorder="1" applyAlignment="1">
      <alignment horizontal="left"/>
    </xf>
    <xf numFmtId="49" fontId="8" fillId="0" borderId="51" xfId="0" applyNumberFormat="1" applyFont="1" applyBorder="1" applyAlignment="1">
      <alignment horizontal="left" vertical="top"/>
    </xf>
    <xf numFmtId="0" fontId="8" fillId="0" borderId="52" xfId="0" applyFont="1" applyBorder="1" applyAlignment="1">
      <alignment horizontal="center" vertical="center"/>
    </xf>
    <xf numFmtId="0" fontId="8" fillId="0" borderId="48" xfId="0" applyFont="1" applyBorder="1" applyAlignment="1">
      <alignment horizontal="left" vertical="center"/>
    </xf>
    <xf numFmtId="174" fontId="1" fillId="0" borderId="55" xfId="0" applyNumberFormat="1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43" fontId="12" fillId="0" borderId="42" xfId="0" applyNumberFormat="1" applyFont="1" applyBorder="1" applyAlignment="1">
      <alignment horizontal="left"/>
    </xf>
    <xf numFmtId="10" fontId="12" fillId="0" borderId="42" xfId="1" applyNumberFormat="1" applyFont="1" applyBorder="1" applyAlignment="1">
      <alignment horizontal="center"/>
    </xf>
    <xf numFmtId="43" fontId="1" fillId="0" borderId="38" xfId="0" applyNumberFormat="1" applyFont="1" applyBorder="1" applyAlignment="1">
      <alignment horizontal="center"/>
    </xf>
    <xf numFmtId="43" fontId="1" fillId="0" borderId="38" xfId="0" applyNumberFormat="1" applyFont="1" applyBorder="1"/>
    <xf numFmtId="174" fontId="1" fillId="0" borderId="47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8" fontId="3" fillId="0" borderId="0" xfId="0" applyNumberFormat="1" applyFont="1" applyAlignment="1">
      <alignment horizontal="center"/>
    </xf>
    <xf numFmtId="168" fontId="8" fillId="0" borderId="0" xfId="0" applyNumberFormat="1" applyFont="1" applyAlignment="1">
      <alignment horizontal="center"/>
    </xf>
    <xf numFmtId="168" fontId="3" fillId="0" borderId="11" xfId="0" applyNumberFormat="1" applyFont="1" applyBorder="1" applyAlignment="1">
      <alignment horizontal="center"/>
    </xf>
    <xf numFmtId="168" fontId="9" fillId="0" borderId="0" xfId="0" applyNumberFormat="1" applyFont="1" applyAlignment="1">
      <alignment horizontal="center"/>
    </xf>
    <xf numFmtId="172" fontId="5" fillId="0" borderId="0" xfId="0" applyNumberFormat="1" applyFont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4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top"/>
    </xf>
    <xf numFmtId="175" fontId="8" fillId="0" borderId="6" xfId="0" applyNumberFormat="1" applyFont="1" applyBorder="1" applyAlignment="1">
      <alignment horizontal="center" vertical="top"/>
    </xf>
    <xf numFmtId="175" fontId="1" fillId="0" borderId="6" xfId="0" applyNumberFormat="1" applyFont="1" applyBorder="1" applyAlignment="1">
      <alignment horizontal="center" vertical="top"/>
    </xf>
    <xf numFmtId="175" fontId="8" fillId="0" borderId="49" xfId="0" applyNumberFormat="1" applyFont="1" applyBorder="1" applyAlignment="1">
      <alignment horizontal="center" vertical="top"/>
    </xf>
    <xf numFmtId="174" fontId="1" fillId="0" borderId="49" xfId="0" applyNumberFormat="1" applyFont="1" applyBorder="1" applyAlignment="1">
      <alignment horizontal="center"/>
    </xf>
    <xf numFmtId="174" fontId="1" fillId="0" borderId="6" xfId="0" applyNumberFormat="1" applyFont="1" applyBorder="1" applyAlignment="1">
      <alignment horizontal="center"/>
    </xf>
    <xf numFmtId="174" fontId="1" fillId="0" borderId="47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168" fontId="12" fillId="0" borderId="49" xfId="0" applyNumberFormat="1" applyFont="1" applyBorder="1" applyAlignment="1">
      <alignment horizontal="center"/>
    </xf>
    <xf numFmtId="174" fontId="12" fillId="0" borderId="49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top"/>
    </xf>
    <xf numFmtId="175" fontId="8" fillId="0" borderId="42" xfId="0" applyNumberFormat="1" applyFont="1" applyBorder="1" applyAlignment="1">
      <alignment horizontal="center" vertical="top"/>
    </xf>
    <xf numFmtId="0" fontId="13" fillId="0" borderId="42" xfId="0" applyFont="1" applyBorder="1" applyAlignment="1">
      <alignment horizontal="center"/>
    </xf>
    <xf numFmtId="174" fontId="12" fillId="0" borderId="47" xfId="0" applyNumberFormat="1" applyFont="1" applyBorder="1" applyAlignment="1">
      <alignment horizontal="center"/>
    </xf>
    <xf numFmtId="0" fontId="8" fillId="0" borderId="48" xfId="0" applyFont="1" applyBorder="1" applyAlignment="1">
      <alignment horizontal="center" vertical="center"/>
    </xf>
    <xf numFmtId="174" fontId="1" fillId="0" borderId="55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74" fontId="1" fillId="0" borderId="0" xfId="0" applyNumberFormat="1" applyFont="1" applyAlignment="1">
      <alignment horizontal="center"/>
    </xf>
    <xf numFmtId="174" fontId="1" fillId="0" borderId="11" xfId="0" applyNumberFormat="1" applyFont="1" applyBorder="1" applyAlignment="1">
      <alignment horizontal="center"/>
    </xf>
    <xf numFmtId="168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8" fillId="2" borderId="15" xfId="0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174" fontId="11" fillId="0" borderId="0" xfId="0" applyNumberFormat="1" applyFont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77" fontId="12" fillId="0" borderId="6" xfId="0" applyNumberFormat="1" applyFont="1" applyBorder="1" applyAlignment="1">
      <alignment horizontal="left"/>
    </xf>
    <xf numFmtId="177" fontId="12" fillId="0" borderId="42" xfId="0" applyNumberFormat="1" applyFont="1" applyBorder="1" applyAlignment="1">
      <alignment horizontal="left"/>
    </xf>
    <xf numFmtId="49" fontId="12" fillId="0" borderId="6" xfId="0" applyNumberFormat="1" applyFont="1" applyBorder="1" applyAlignment="1">
      <alignment horizontal="left"/>
    </xf>
    <xf numFmtId="10" fontId="12" fillId="0" borderId="6" xfId="1" applyNumberFormat="1" applyFont="1" applyBorder="1" applyAlignment="1">
      <alignment horizontal="center"/>
    </xf>
    <xf numFmtId="174" fontId="12" fillId="0" borderId="6" xfId="0" applyNumberFormat="1" applyFont="1" applyBorder="1" applyAlignment="1">
      <alignment horizontal="center"/>
    </xf>
    <xf numFmtId="2" fontId="1" fillId="9" borderId="15" xfId="0" applyNumberFormat="1" applyFont="1" applyFill="1" applyBorder="1" applyAlignment="1">
      <alignment horizontal="center"/>
    </xf>
    <xf numFmtId="2" fontId="1" fillId="0" borderId="38" xfId="0" applyNumberFormat="1" applyFont="1" applyBorder="1"/>
    <xf numFmtId="0" fontId="0" fillId="0" borderId="6" xfId="0" applyBorder="1"/>
    <xf numFmtId="0" fontId="8" fillId="16" borderId="3" xfId="0" applyFont="1" applyFill="1" applyBorder="1" applyAlignment="1">
      <alignment horizontal="left" vertical="top" wrapText="1"/>
    </xf>
    <xf numFmtId="0" fontId="36" fillId="0" borderId="6" xfId="2" applyFont="1" applyAlignment="1" applyProtection="1">
      <alignment horizontal="center" vertical="center"/>
      <protection hidden="1"/>
    </xf>
    <xf numFmtId="191" fontId="33" fillId="0" borderId="43" xfId="7" applyFont="1" applyFill="1" applyBorder="1" applyAlignment="1" applyProtection="1">
      <alignment vertical="center"/>
      <protection hidden="1"/>
    </xf>
    <xf numFmtId="191" fontId="33" fillId="0" borderId="38" xfId="7" applyFont="1" applyFill="1" applyBorder="1" applyAlignment="1" applyProtection="1">
      <alignment vertical="center"/>
      <protection hidden="1"/>
    </xf>
    <xf numFmtId="2" fontId="11" fillId="0" borderId="3" xfId="0" applyNumberFormat="1" applyFont="1" applyBorder="1" applyAlignment="1">
      <alignment horizontal="left"/>
    </xf>
    <xf numFmtId="2" fontId="40" fillId="15" borderId="44" xfId="2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/>
    <xf numFmtId="2" fontId="10" fillId="0" borderId="38" xfId="0" applyNumberFormat="1" applyFont="1" applyBorder="1" applyAlignment="1">
      <alignment horizontal="left"/>
    </xf>
    <xf numFmtId="2" fontId="0" fillId="0" borderId="0" xfId="0" applyNumberFormat="1"/>
    <xf numFmtId="2" fontId="0" fillId="0" borderId="38" xfId="0" applyNumberFormat="1" applyBorder="1"/>
    <xf numFmtId="44" fontId="1" fillId="0" borderId="38" xfId="14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33" fillId="0" borderId="38" xfId="0" applyNumberFormat="1" applyFont="1" applyBorder="1" applyAlignment="1">
      <alignment vertical="center"/>
    </xf>
    <xf numFmtId="188" fontId="19" fillId="0" borderId="3" xfId="0" applyNumberFormat="1" applyFont="1" applyBorder="1" applyAlignment="1">
      <alignment horizontal="center" vertical="center"/>
    </xf>
    <xf numFmtId="168" fontId="19" fillId="8" borderId="3" xfId="0" applyNumberFormat="1" applyFont="1" applyFill="1" applyBorder="1" applyAlignment="1">
      <alignment horizontal="center" vertical="center"/>
    </xf>
    <xf numFmtId="168" fontId="19" fillId="0" borderId="3" xfId="0" applyNumberFormat="1" applyFont="1" applyBorder="1" applyAlignment="1">
      <alignment vertical="center"/>
    </xf>
    <xf numFmtId="188" fontId="19" fillId="0" borderId="29" xfId="0" applyNumberFormat="1" applyFont="1" applyBorder="1" applyAlignment="1">
      <alignment horizontal="center" vertical="center"/>
    </xf>
    <xf numFmtId="188" fontId="19" fillId="0" borderId="29" xfId="0" applyNumberFormat="1" applyFont="1" applyBorder="1" applyAlignment="1">
      <alignment vertical="center"/>
    </xf>
    <xf numFmtId="42" fontId="19" fillId="0" borderId="29" xfId="0" applyNumberFormat="1" applyFont="1" applyBorder="1" applyAlignment="1">
      <alignment horizontal="center" vertical="center"/>
    </xf>
    <xf numFmtId="43" fontId="1" fillId="0" borderId="37" xfId="0" applyNumberFormat="1" applyFont="1" applyBorder="1" applyAlignment="1">
      <alignment vertical="center"/>
    </xf>
    <xf numFmtId="39" fontId="19" fillId="0" borderId="29" xfId="0" applyNumberFormat="1" applyFont="1" applyBorder="1" applyAlignment="1">
      <alignment horizontal="center" vertical="center"/>
    </xf>
    <xf numFmtId="168" fontId="19" fillId="0" borderId="3" xfId="0" applyNumberFormat="1" applyFont="1" applyBorder="1" applyAlignment="1">
      <alignment horizontal="center" vertical="center"/>
    </xf>
    <xf numFmtId="190" fontId="19" fillId="0" borderId="29" xfId="0" applyNumberFormat="1" applyFont="1" applyBorder="1" applyAlignment="1">
      <alignment horizontal="center" vertical="center"/>
    </xf>
    <xf numFmtId="2" fontId="33" fillId="0" borderId="3" xfId="0" applyNumberFormat="1" applyFont="1" applyBorder="1" applyAlignment="1">
      <alignment horizontal="left" vertical="center"/>
    </xf>
    <xf numFmtId="0" fontId="33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3" fontId="1" fillId="0" borderId="38" xfId="0" applyNumberFormat="1" applyFont="1" applyBorder="1" applyAlignment="1">
      <alignment horizontal="left"/>
    </xf>
    <xf numFmtId="0" fontId="32" fillId="0" borderId="6" xfId="2" applyFont="1" applyAlignment="1" applyProtection="1">
      <alignment vertical="center"/>
      <protection hidden="1"/>
    </xf>
    <xf numFmtId="0" fontId="18" fillId="0" borderId="6" xfId="3" applyFont="1" applyAlignment="1">
      <alignment vertical="center"/>
    </xf>
    <xf numFmtId="0" fontId="33" fillId="0" borderId="6" xfId="3" applyFont="1" applyAlignment="1">
      <alignment vertical="center" wrapText="1"/>
    </xf>
    <xf numFmtId="0" fontId="33" fillId="0" borderId="6" xfId="3" applyFont="1" applyAlignment="1">
      <alignment horizontal="center" vertical="center" wrapText="1"/>
    </xf>
    <xf numFmtId="2" fontId="39" fillId="0" borderId="38" xfId="9" applyNumberFormat="1" applyFont="1" applyFill="1" applyBorder="1" applyAlignment="1" applyProtection="1">
      <alignment vertical="center"/>
      <protection hidden="1"/>
    </xf>
    <xf numFmtId="194" fontId="39" fillId="13" borderId="38" xfId="9" applyFont="1" applyFill="1" applyBorder="1" applyAlignment="1" applyProtection="1">
      <alignment vertical="center"/>
      <protection locked="0"/>
    </xf>
    <xf numFmtId="0" fontId="33" fillId="0" borderId="43" xfId="2" applyFont="1" applyBorder="1" applyAlignment="1" applyProtection="1">
      <alignment vertical="center"/>
      <protection hidden="1"/>
    </xf>
    <xf numFmtId="168" fontId="35" fillId="0" borderId="38" xfId="9" applyNumberFormat="1" applyFont="1" applyFill="1" applyBorder="1" applyAlignment="1" applyProtection="1">
      <alignment vertical="center"/>
      <protection hidden="1"/>
    </xf>
    <xf numFmtId="194" fontId="39" fillId="0" borderId="38" xfId="9" applyFont="1" applyFill="1" applyBorder="1" applyAlignment="1" applyProtection="1">
      <alignment vertical="center"/>
      <protection hidden="1"/>
    </xf>
    <xf numFmtId="0" fontId="39" fillId="0" borderId="43" xfId="2" applyFont="1" applyBorder="1" applyAlignment="1" applyProtection="1">
      <alignment vertical="center"/>
      <protection hidden="1"/>
    </xf>
    <xf numFmtId="194" fontId="39" fillId="0" borderId="38" xfId="9" applyFont="1" applyFill="1" applyBorder="1" applyAlignment="1" applyProtection="1">
      <alignment vertical="center"/>
      <protection locked="0"/>
    </xf>
    <xf numFmtId="0" fontId="32" fillId="0" borderId="43" xfId="2" applyFont="1" applyBorder="1" applyAlignment="1" applyProtection="1">
      <alignment vertical="center"/>
      <protection hidden="1"/>
    </xf>
    <xf numFmtId="194" fontId="44" fillId="12" borderId="38" xfId="9" applyFont="1" applyFill="1" applyBorder="1" applyAlignment="1" applyProtection="1">
      <alignment horizontal="right" vertical="center"/>
      <protection locked="0"/>
    </xf>
    <xf numFmtId="0" fontId="32" fillId="0" borderId="6" xfId="3" applyFont="1" applyAlignment="1">
      <alignment vertical="center"/>
    </xf>
    <xf numFmtId="9" fontId="39" fillId="0" borderId="38" xfId="8" applyFont="1" applyFill="1" applyBorder="1" applyAlignment="1" applyProtection="1">
      <alignment horizontal="center" vertical="center"/>
      <protection hidden="1"/>
    </xf>
    <xf numFmtId="0" fontId="33" fillId="10" borderId="43" xfId="2" applyFont="1" applyFill="1" applyBorder="1" applyAlignment="1" applyProtection="1">
      <alignment vertical="center"/>
      <protection hidden="1"/>
    </xf>
    <xf numFmtId="0" fontId="35" fillId="0" borderId="38" xfId="3" applyFont="1" applyBorder="1" applyAlignment="1">
      <alignment vertical="center"/>
    </xf>
    <xf numFmtId="9" fontId="35" fillId="0" borderId="38" xfId="3" applyNumberFormat="1" applyFont="1" applyBorder="1" applyAlignment="1">
      <alignment horizontal="center" vertical="center"/>
    </xf>
    <xf numFmtId="9" fontId="35" fillId="11" borderId="38" xfId="8" applyFont="1" applyFill="1" applyBorder="1" applyAlignment="1">
      <alignment horizontal="center" vertical="center"/>
    </xf>
    <xf numFmtId="177" fontId="33" fillId="0" borderId="49" xfId="3" applyNumberFormat="1" applyFont="1" applyBorder="1" applyAlignment="1">
      <alignment vertical="center"/>
    </xf>
    <xf numFmtId="191" fontId="35" fillId="0" borderId="38" xfId="7" applyFont="1" applyBorder="1" applyAlignment="1">
      <alignment vertical="center"/>
    </xf>
    <xf numFmtId="168" fontId="35" fillId="0" borderId="50" xfId="11" applyNumberFormat="1" applyFont="1" applyFill="1" applyBorder="1" applyAlignment="1" applyProtection="1">
      <alignment vertical="center"/>
      <protection hidden="1"/>
    </xf>
    <xf numFmtId="177" fontId="33" fillId="0" borderId="6" xfId="3" applyNumberFormat="1" applyFont="1" applyAlignment="1">
      <alignment vertical="center"/>
    </xf>
    <xf numFmtId="0" fontId="43" fillId="0" borderId="43" xfId="2" applyFont="1" applyBorder="1" applyAlignment="1" applyProtection="1">
      <alignment vertical="center"/>
      <protection hidden="1"/>
    </xf>
    <xf numFmtId="168" fontId="43" fillId="0" borderId="38" xfId="11" applyNumberFormat="1" applyFont="1" applyFill="1" applyBorder="1" applyAlignment="1" applyProtection="1">
      <alignment vertical="center"/>
      <protection hidden="1"/>
    </xf>
    <xf numFmtId="168" fontId="32" fillId="0" borderId="6" xfId="3" applyNumberFormat="1" applyFont="1" applyAlignment="1">
      <alignment vertical="center"/>
    </xf>
    <xf numFmtId="177" fontId="32" fillId="0" borderId="6" xfId="3" applyNumberFormat="1" applyFont="1" applyAlignment="1">
      <alignment vertical="center"/>
    </xf>
    <xf numFmtId="0" fontId="32" fillId="0" borderId="6" xfId="3" applyFont="1" applyAlignment="1">
      <alignment horizontal="right" vertical="center"/>
    </xf>
    <xf numFmtId="0" fontId="35" fillId="0" borderId="6" xfId="3" applyFont="1" applyAlignment="1">
      <alignment horizontal="center" vertical="center"/>
    </xf>
    <xf numFmtId="2" fontId="35" fillId="0" borderId="6" xfId="3" applyNumberFormat="1" applyFont="1" applyAlignment="1">
      <alignment horizontal="center" vertical="center"/>
    </xf>
    <xf numFmtId="0" fontId="34" fillId="0" borderId="6" xfId="3" applyFont="1" applyAlignment="1">
      <alignment vertical="center"/>
    </xf>
    <xf numFmtId="2" fontId="37" fillId="15" borderId="44" xfId="6" applyNumberFormat="1" applyFont="1" applyFill="1" applyBorder="1" applyAlignment="1" applyProtection="1">
      <alignment vertical="center"/>
      <protection hidden="1"/>
    </xf>
    <xf numFmtId="2" fontId="37" fillId="15" borderId="45" xfId="6" applyNumberFormat="1" applyFont="1" applyFill="1" applyBorder="1" applyAlignment="1" applyProtection="1">
      <alignment vertical="center"/>
      <protection hidden="1"/>
    </xf>
    <xf numFmtId="2" fontId="33" fillId="0" borderId="46" xfId="6" applyNumberFormat="1" applyFont="1" applyBorder="1" applyAlignment="1" applyProtection="1">
      <alignment vertical="center"/>
      <protection hidden="1"/>
    </xf>
    <xf numFmtId="2" fontId="33" fillId="0" borderId="6" xfId="6" applyNumberFormat="1" applyFont="1" applyAlignment="1" applyProtection="1">
      <alignment vertical="center"/>
      <protection hidden="1"/>
    </xf>
    <xf numFmtId="2" fontId="33" fillId="0" borderId="43" xfId="6" applyNumberFormat="1" applyFont="1" applyBorder="1" applyAlignment="1" applyProtection="1">
      <alignment vertical="center"/>
      <protection hidden="1"/>
    </xf>
    <xf numFmtId="0" fontId="33" fillId="0" borderId="45" xfId="3" applyFont="1" applyBorder="1" applyAlignment="1">
      <alignment vertical="center"/>
    </xf>
    <xf numFmtId="2" fontId="33" fillId="0" borderId="45" xfId="6" applyNumberFormat="1" applyFont="1" applyBorder="1" applyAlignment="1" applyProtection="1">
      <alignment vertical="center"/>
      <protection hidden="1"/>
    </xf>
    <xf numFmtId="0" fontId="33" fillId="0" borderId="43" xfId="3" applyFont="1" applyBorder="1" applyAlignment="1">
      <alignment vertical="center"/>
    </xf>
    <xf numFmtId="0" fontId="35" fillId="0" borderId="43" xfId="3" applyFont="1" applyBorder="1" applyAlignment="1">
      <alignment vertical="center"/>
    </xf>
    <xf numFmtId="0" fontId="35" fillId="0" borderId="45" xfId="3" applyFont="1" applyBorder="1" applyAlignment="1">
      <alignment vertical="center"/>
    </xf>
    <xf numFmtId="0" fontId="33" fillId="0" borderId="45" xfId="3" applyFont="1" applyBorder="1" applyAlignment="1">
      <alignment horizontal="left" vertical="center"/>
    </xf>
    <xf numFmtId="2" fontId="35" fillId="0" borderId="38" xfId="6" applyNumberFormat="1" applyFont="1" applyBorder="1" applyAlignment="1" applyProtection="1">
      <alignment horizontal="center" vertical="center"/>
      <protection hidden="1"/>
    </xf>
    <xf numFmtId="0" fontId="18" fillId="0" borderId="45" xfId="3" applyFont="1" applyBorder="1" applyAlignment="1">
      <alignment vertical="center"/>
    </xf>
    <xf numFmtId="0" fontId="33" fillId="0" borderId="42" xfId="3" applyFont="1" applyBorder="1" applyAlignment="1">
      <alignment vertical="center"/>
    </xf>
    <xf numFmtId="0" fontId="33" fillId="0" borderId="44" xfId="3" applyFont="1" applyBorder="1" applyAlignment="1">
      <alignment vertical="center"/>
    </xf>
    <xf numFmtId="0" fontId="35" fillId="0" borderId="44" xfId="3" applyFont="1" applyBorder="1" applyAlignment="1">
      <alignment vertical="center"/>
    </xf>
    <xf numFmtId="10" fontId="35" fillId="0" borderId="38" xfId="8" applyNumberFormat="1" applyFont="1" applyFill="1" applyBorder="1" applyAlignment="1">
      <alignment vertical="center"/>
    </xf>
    <xf numFmtId="10" fontId="38" fillId="0" borderId="6" xfId="8" applyNumberFormat="1" applyFont="1" applyFill="1" applyBorder="1" applyAlignment="1">
      <alignment vertical="center"/>
    </xf>
    <xf numFmtId="0" fontId="43" fillId="0" borderId="6" xfId="2" applyFont="1" applyAlignment="1" applyProtection="1">
      <alignment vertical="center"/>
      <protection hidden="1"/>
    </xf>
    <xf numFmtId="0" fontId="36" fillId="0" borderId="6" xfId="2" applyFont="1" applyAlignment="1" applyProtection="1">
      <alignment vertical="center"/>
      <protection hidden="1"/>
    </xf>
    <xf numFmtId="194" fontId="36" fillId="0" borderId="6" xfId="9" applyFont="1" applyFill="1" applyBorder="1" applyAlignment="1" applyProtection="1">
      <alignment horizontal="center" vertical="center"/>
      <protection hidden="1"/>
    </xf>
    <xf numFmtId="177" fontId="36" fillId="0" borderId="6" xfId="9" applyNumberFormat="1" applyFont="1" applyFill="1" applyBorder="1" applyAlignment="1" applyProtection="1">
      <alignment horizontal="center" vertical="center"/>
      <protection hidden="1"/>
    </xf>
    <xf numFmtId="2" fontId="35" fillId="0" borderId="6" xfId="3" applyNumberFormat="1" applyFont="1" applyAlignment="1">
      <alignment vertical="center"/>
    </xf>
    <xf numFmtId="0" fontId="35" fillId="0" borderId="6" xfId="2" applyFont="1" applyAlignment="1" applyProtection="1">
      <alignment horizontal="right" vertical="center"/>
      <protection hidden="1"/>
    </xf>
    <xf numFmtId="1" fontId="33" fillId="0" borderId="6" xfId="3" applyNumberFormat="1" applyFont="1" applyAlignment="1">
      <alignment horizontal="left" vertical="center"/>
    </xf>
    <xf numFmtId="2" fontId="35" fillId="0" borderId="6" xfId="2" applyNumberFormat="1" applyFont="1" applyAlignment="1" applyProtection="1">
      <alignment horizontal="right" vertical="center"/>
      <protection hidden="1"/>
    </xf>
    <xf numFmtId="2" fontId="38" fillId="0" borderId="6" xfId="2" applyNumberFormat="1" applyFont="1" applyAlignment="1" applyProtection="1">
      <alignment horizontal="center" vertical="center"/>
      <protection hidden="1"/>
    </xf>
    <xf numFmtId="196" fontId="18" fillId="0" borderId="6" xfId="3" applyNumberFormat="1" applyFont="1" applyAlignment="1">
      <alignment horizontal="left" vertical="center"/>
    </xf>
    <xf numFmtId="2" fontId="38" fillId="0" borderId="6" xfId="2" applyNumberFormat="1" applyFont="1" applyAlignment="1" applyProtection="1">
      <alignment horizontal="right" vertical="center"/>
      <protection hidden="1"/>
    </xf>
    <xf numFmtId="2" fontId="40" fillId="15" borderId="45" xfId="2" applyNumberFormat="1" applyFont="1" applyFill="1" applyBorder="1" applyAlignment="1" applyProtection="1">
      <alignment horizontal="right" vertical="center" wrapText="1"/>
      <protection hidden="1"/>
    </xf>
    <xf numFmtId="2" fontId="38" fillId="0" borderId="6" xfId="2" applyNumberFormat="1" applyFont="1" applyAlignment="1" applyProtection="1">
      <alignment horizontal="center" vertical="center" wrapText="1"/>
      <protection hidden="1"/>
    </xf>
    <xf numFmtId="10" fontId="32" fillId="0" borderId="45" xfId="8" applyNumberFormat="1" applyFont="1" applyFill="1" applyBorder="1" applyAlignment="1" applyProtection="1">
      <alignment horizontal="right" vertical="center"/>
      <protection hidden="1"/>
    </xf>
    <xf numFmtId="0" fontId="39" fillId="0" borderId="45" xfId="2" applyFont="1" applyBorder="1" applyAlignment="1" applyProtection="1">
      <alignment horizontal="right" vertical="center"/>
      <protection hidden="1"/>
    </xf>
    <xf numFmtId="0" fontId="39" fillId="0" borderId="44" xfId="2" applyFont="1" applyBorder="1" applyAlignment="1" applyProtection="1">
      <alignment vertical="center"/>
      <protection hidden="1"/>
    </xf>
    <xf numFmtId="0" fontId="32" fillId="0" borderId="44" xfId="2" applyFont="1" applyBorder="1" applyAlignment="1" applyProtection="1">
      <alignment horizontal="right" vertical="center"/>
      <protection hidden="1"/>
    </xf>
    <xf numFmtId="0" fontId="32" fillId="0" borderId="45" xfId="2" applyFont="1" applyBorder="1" applyAlignment="1" applyProtection="1">
      <alignment horizontal="right" vertical="center"/>
      <protection hidden="1"/>
    </xf>
    <xf numFmtId="10" fontId="32" fillId="0" borderId="44" xfId="2" applyNumberFormat="1" applyFont="1" applyBorder="1" applyAlignment="1" applyProtection="1">
      <alignment horizontal="right" vertical="center"/>
      <protection hidden="1"/>
    </xf>
    <xf numFmtId="191" fontId="33" fillId="0" borderId="6" xfId="7" applyFont="1" applyFill="1" applyBorder="1" applyAlignment="1" applyProtection="1">
      <alignment vertical="center"/>
      <protection hidden="1"/>
    </xf>
    <xf numFmtId="0" fontId="39" fillId="0" borderId="44" xfId="2" applyFont="1" applyBorder="1" applyAlignment="1" applyProtection="1">
      <alignment horizontal="center" vertical="center"/>
      <protection hidden="1"/>
    </xf>
    <xf numFmtId="177" fontId="46" fillId="0" borderId="38" xfId="8" applyNumberFormat="1" applyFont="1" applyFill="1" applyBorder="1" applyAlignment="1" applyProtection="1">
      <alignment horizontal="center" vertical="center"/>
      <protection hidden="1"/>
    </xf>
    <xf numFmtId="2" fontId="43" fillId="0" borderId="6" xfId="2" applyNumberFormat="1" applyFont="1" applyAlignment="1" applyProtection="1">
      <alignment horizontal="center" vertical="center"/>
      <protection hidden="1"/>
    </xf>
    <xf numFmtId="177" fontId="39" fillId="0" borderId="45" xfId="8" applyNumberFormat="1" applyFont="1" applyFill="1" applyBorder="1" applyAlignment="1" applyProtection="1">
      <alignment horizontal="right" vertical="center"/>
      <protection hidden="1"/>
    </xf>
    <xf numFmtId="9" fontId="35" fillId="0" borderId="38" xfId="8" applyFont="1" applyBorder="1" applyAlignment="1">
      <alignment horizontal="center" vertical="center"/>
    </xf>
    <xf numFmtId="9" fontId="35" fillId="12" borderId="38" xfId="8" applyFont="1" applyFill="1" applyBorder="1" applyAlignment="1">
      <alignment horizontal="center" vertical="center"/>
    </xf>
    <xf numFmtId="194" fontId="39" fillId="0" borderId="44" xfId="2" applyNumberFormat="1" applyFont="1" applyBorder="1" applyAlignment="1" applyProtection="1">
      <alignment horizontal="center" vertical="center"/>
      <protection hidden="1"/>
    </xf>
    <xf numFmtId="43" fontId="39" fillId="0" borderId="44" xfId="2" applyNumberFormat="1" applyFont="1" applyBorder="1" applyAlignment="1" applyProtection="1">
      <alignment horizontal="center" vertical="center"/>
      <protection hidden="1"/>
    </xf>
    <xf numFmtId="2" fontId="39" fillId="0" borderId="38" xfId="9" applyNumberFormat="1" applyFont="1" applyFill="1" applyBorder="1" applyAlignment="1" applyProtection="1">
      <alignment horizontal="right" vertical="center"/>
      <protection locked="0"/>
    </xf>
    <xf numFmtId="0" fontId="39" fillId="10" borderId="44" xfId="2" applyFont="1" applyFill="1" applyBorder="1" applyAlignment="1" applyProtection="1">
      <alignment horizontal="center" vertical="center"/>
      <protection hidden="1"/>
    </xf>
    <xf numFmtId="0" fontId="39" fillId="10" borderId="45" xfId="2" applyFont="1" applyFill="1" applyBorder="1" applyAlignment="1" applyProtection="1">
      <alignment horizontal="right" vertical="center"/>
      <protection hidden="1"/>
    </xf>
    <xf numFmtId="194" fontId="39" fillId="14" borderId="38" xfId="9" applyFont="1" applyFill="1" applyBorder="1" applyAlignment="1" applyProtection="1">
      <alignment vertical="center"/>
      <protection locked="0"/>
    </xf>
    <xf numFmtId="195" fontId="39" fillId="0" borderId="45" xfId="10" applyFont="1" applyFill="1" applyBorder="1" applyAlignment="1" applyProtection="1">
      <alignment horizontal="right" vertical="center"/>
      <protection hidden="1"/>
    </xf>
    <xf numFmtId="10" fontId="39" fillId="0" borderId="45" xfId="8" applyNumberFormat="1" applyFont="1" applyFill="1" applyBorder="1" applyAlignment="1" applyProtection="1">
      <alignment horizontal="right" vertical="center"/>
      <protection hidden="1"/>
    </xf>
    <xf numFmtId="10" fontId="39" fillId="10" borderId="45" xfId="8" applyNumberFormat="1" applyFont="1" applyFill="1" applyBorder="1" applyAlignment="1" applyProtection="1">
      <alignment horizontal="right" vertical="center"/>
      <protection hidden="1"/>
    </xf>
    <xf numFmtId="194" fontId="47" fillId="0" borderId="44" xfId="2" applyNumberFormat="1" applyFont="1" applyBorder="1" applyAlignment="1" applyProtection="1">
      <alignment vertical="center"/>
      <protection hidden="1"/>
    </xf>
    <xf numFmtId="194" fontId="39" fillId="0" borderId="45" xfId="2" applyNumberFormat="1" applyFont="1" applyBorder="1" applyAlignment="1" applyProtection="1">
      <alignment horizontal="right" vertical="center"/>
      <protection hidden="1"/>
    </xf>
    <xf numFmtId="0" fontId="33" fillId="0" borderId="48" xfId="3" applyFont="1" applyBorder="1" applyAlignment="1">
      <alignment horizontal="right" vertical="center"/>
    </xf>
    <xf numFmtId="194" fontId="32" fillId="0" borderId="44" xfId="2" applyNumberFormat="1" applyFont="1" applyBorder="1" applyAlignment="1" applyProtection="1">
      <alignment vertical="center"/>
      <protection hidden="1"/>
    </xf>
    <xf numFmtId="194" fontId="32" fillId="0" borderId="45" xfId="2" applyNumberFormat="1" applyFont="1" applyBorder="1" applyAlignment="1" applyProtection="1">
      <alignment horizontal="right" vertical="center"/>
      <protection hidden="1"/>
    </xf>
    <xf numFmtId="0" fontId="32" fillId="0" borderId="49" xfId="3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12" fillId="2" borderId="25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4" fillId="2" borderId="25" xfId="0" applyFont="1" applyFill="1" applyBorder="1"/>
    <xf numFmtId="0" fontId="4" fillId="2" borderId="25" xfId="0" applyFont="1" applyFill="1" applyBorder="1" applyAlignment="1">
      <alignment horizontal="left"/>
    </xf>
    <xf numFmtId="0" fontId="12" fillId="2" borderId="25" xfId="0" applyFont="1" applyFill="1" applyBorder="1"/>
    <xf numFmtId="0" fontId="14" fillId="0" borderId="0" xfId="0" applyFont="1"/>
    <xf numFmtId="166" fontId="5" fillId="0" borderId="14" xfId="0" applyNumberFormat="1" applyFont="1" applyBorder="1"/>
    <xf numFmtId="3" fontId="5" fillId="0" borderId="15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71" fontId="10" fillId="0" borderId="15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horizontal="left"/>
    </xf>
    <xf numFmtId="2" fontId="12" fillId="2" borderId="25" xfId="0" applyNumberFormat="1" applyFont="1" applyFill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26" xfId="0" applyFont="1" applyBorder="1" applyAlignment="1">
      <alignment horizontal="left" vertical="top"/>
    </xf>
    <xf numFmtId="0" fontId="11" fillId="0" borderId="14" xfId="0" applyFont="1" applyBorder="1" applyAlignment="1">
      <alignment horizontal="left"/>
    </xf>
    <xf numFmtId="0" fontId="1" fillId="2" borderId="25" xfId="0" applyFont="1" applyFill="1" applyBorder="1"/>
    <xf numFmtId="0" fontId="19" fillId="2" borderId="25" xfId="0" applyFont="1" applyFill="1" applyBorder="1"/>
    <xf numFmtId="0" fontId="15" fillId="2" borderId="25" xfId="0" applyFont="1" applyFill="1" applyBorder="1"/>
    <xf numFmtId="0" fontId="1" fillId="0" borderId="24" xfId="0" applyFont="1" applyBorder="1" applyAlignment="1">
      <alignment horizontal="center" vertical="center"/>
    </xf>
    <xf numFmtId="168" fontId="19" fillId="8" borderId="29" xfId="0" applyNumberFormat="1" applyFont="1" applyFill="1" applyBorder="1" applyAlignment="1">
      <alignment horizontal="center" vertical="center"/>
    </xf>
    <xf numFmtId="168" fontId="19" fillId="0" borderId="29" xfId="0" applyNumberFormat="1" applyFont="1" applyBorder="1" applyAlignment="1">
      <alignment horizontal="center" vertical="center"/>
    </xf>
    <xf numFmtId="0" fontId="1" fillId="2" borderId="25" xfId="0" applyFont="1" applyFill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22" fillId="0" borderId="6" xfId="12"/>
    <xf numFmtId="0" fontId="22" fillId="0" borderId="35" xfId="12" applyBorder="1" applyAlignment="1">
      <alignment vertical="center" wrapText="1"/>
    </xf>
    <xf numFmtId="0" fontId="50" fillId="0" borderId="61" xfId="12" applyFont="1" applyBorder="1" applyAlignment="1">
      <alignment vertical="center" wrapText="1"/>
    </xf>
    <xf numFmtId="0" fontId="22" fillId="0" borderId="6" xfId="12" applyAlignment="1">
      <alignment vertical="center" wrapText="1"/>
    </xf>
    <xf numFmtId="9" fontId="0" fillId="0" borderId="6" xfId="15" applyFont="1" applyBorder="1" applyAlignment="1">
      <alignment vertical="center" wrapText="1"/>
    </xf>
    <xf numFmtId="0" fontId="50" fillId="0" borderId="62" xfId="12" applyFont="1" applyBorder="1" applyAlignment="1">
      <alignment vertical="center" wrapText="1"/>
    </xf>
    <xf numFmtId="0" fontId="51" fillId="0" borderId="63" xfId="12" applyFont="1" applyBorder="1" applyAlignment="1">
      <alignment horizontal="center" vertical="center" wrapText="1"/>
    </xf>
    <xf numFmtId="0" fontId="52" fillId="0" borderId="64" xfId="12" applyFont="1" applyBorder="1" applyAlignment="1">
      <alignment vertical="center" wrapText="1"/>
    </xf>
    <xf numFmtId="0" fontId="22" fillId="0" borderId="36" xfId="12" applyBorder="1" applyAlignment="1">
      <alignment vertical="center" wrapText="1"/>
    </xf>
    <xf numFmtId="0" fontId="52" fillId="0" borderId="61" xfId="12" applyFont="1" applyBorder="1" applyAlignment="1">
      <alignment vertical="center" wrapText="1"/>
    </xf>
    <xf numFmtId="44" fontId="52" fillId="8" borderId="61" xfId="16" applyFont="1" applyFill="1" applyBorder="1" applyAlignment="1">
      <alignment vertical="center" wrapText="1"/>
    </xf>
    <xf numFmtId="0" fontId="49" fillId="15" borderId="66" xfId="12" applyFont="1" applyFill="1" applyBorder="1" applyAlignment="1">
      <alignment vertical="top" wrapText="1"/>
    </xf>
    <xf numFmtId="0" fontId="52" fillId="15" borderId="67" xfId="12" applyFont="1" applyFill="1" applyBorder="1" applyAlignment="1">
      <alignment vertical="top" wrapText="1"/>
    </xf>
    <xf numFmtId="0" fontId="52" fillId="0" borderId="6" xfId="12" applyFont="1" applyAlignment="1">
      <alignment vertical="top" wrapText="1"/>
    </xf>
    <xf numFmtId="0" fontId="22" fillId="0" borderId="35" xfId="12" applyBorder="1"/>
    <xf numFmtId="0" fontId="22" fillId="0" borderId="62" xfId="12" applyBorder="1"/>
    <xf numFmtId="0" fontId="22" fillId="0" borderId="57" xfId="12" applyBorder="1"/>
    <xf numFmtId="0" fontId="22" fillId="0" borderId="68" xfId="12" applyBorder="1"/>
    <xf numFmtId="168" fontId="22" fillId="0" borderId="38" xfId="12" applyNumberFormat="1" applyBorder="1"/>
    <xf numFmtId="39" fontId="0" fillId="0" borderId="38" xfId="17" applyNumberFormat="1" applyFont="1" applyBorder="1"/>
    <xf numFmtId="44" fontId="0" fillId="0" borderId="38" xfId="16" applyFont="1" applyBorder="1"/>
    <xf numFmtId="2" fontId="22" fillId="0" borderId="71" xfId="12" applyNumberFormat="1" applyBorder="1"/>
    <xf numFmtId="0" fontId="52" fillId="0" borderId="6" xfId="12" applyFont="1" applyAlignment="1">
      <alignment horizontal="right"/>
    </xf>
    <xf numFmtId="39" fontId="52" fillId="0" borderId="6" xfId="12" applyNumberFormat="1" applyFont="1"/>
    <xf numFmtId="44" fontId="52" fillId="0" borderId="6" xfId="12" applyNumberFormat="1" applyFont="1"/>
    <xf numFmtId="44" fontId="55" fillId="0" borderId="62" xfId="16" applyFont="1" applyBorder="1"/>
    <xf numFmtId="44" fontId="55" fillId="0" borderId="60" xfId="16" applyFont="1" applyBorder="1"/>
    <xf numFmtId="43" fontId="0" fillId="0" borderId="6" xfId="17" applyFont="1" applyBorder="1"/>
    <xf numFmtId="44" fontId="52" fillId="0" borderId="6" xfId="16" applyFont="1" applyBorder="1"/>
    <xf numFmtId="43" fontId="52" fillId="0" borderId="60" xfId="12" applyNumberFormat="1" applyFont="1" applyBorder="1"/>
    <xf numFmtId="39" fontId="22" fillId="0" borderId="6" xfId="12" applyNumberFormat="1"/>
    <xf numFmtId="168" fontId="52" fillId="0" borderId="6" xfId="12" applyNumberFormat="1" applyFont="1"/>
    <xf numFmtId="0" fontId="22" fillId="18" borderId="62" xfId="12" applyFill="1" applyBorder="1"/>
    <xf numFmtId="0" fontId="22" fillId="18" borderId="57" xfId="12" applyFill="1" applyBorder="1"/>
    <xf numFmtId="0" fontId="22" fillId="18" borderId="69" xfId="12" applyFill="1" applyBorder="1"/>
    <xf numFmtId="168" fontId="52" fillId="0" borderId="70" xfId="12" applyNumberFormat="1" applyFont="1" applyBorder="1"/>
    <xf numFmtId="0" fontId="22" fillId="0" borderId="36" xfId="12" applyBorder="1"/>
    <xf numFmtId="43" fontId="22" fillId="0" borderId="6" xfId="12" applyNumberFormat="1"/>
    <xf numFmtId="44" fontId="51" fillId="0" borderId="6" xfId="12" applyNumberFormat="1" applyFont="1"/>
    <xf numFmtId="44" fontId="52" fillId="0" borderId="70" xfId="12" applyNumberFormat="1" applyFont="1" applyBorder="1"/>
    <xf numFmtId="44" fontId="52" fillId="0" borderId="72" xfId="12" applyNumberFormat="1" applyFont="1" applyBorder="1"/>
    <xf numFmtId="0" fontId="56" fillId="0" borderId="35" xfId="12" applyFont="1" applyBorder="1"/>
    <xf numFmtId="0" fontId="22" fillId="0" borderId="73" xfId="12" applyBorder="1"/>
    <xf numFmtId="0" fontId="22" fillId="0" borderId="74" xfId="12" applyBorder="1"/>
    <xf numFmtId="0" fontId="22" fillId="0" borderId="75" xfId="12" applyBorder="1"/>
    <xf numFmtId="168" fontId="22" fillId="0" borderId="77" xfId="12" applyNumberFormat="1" applyBorder="1"/>
    <xf numFmtId="39" fontId="0" fillId="0" borderId="77" xfId="17" applyNumberFormat="1" applyFont="1" applyBorder="1"/>
    <xf numFmtId="44" fontId="0" fillId="0" borderId="77" xfId="16" applyFont="1" applyBorder="1"/>
    <xf numFmtId="2" fontId="54" fillId="0" borderId="66" xfId="12" applyNumberFormat="1" applyFont="1" applyBorder="1"/>
    <xf numFmtId="2" fontId="54" fillId="0" borderId="73" xfId="12" applyNumberFormat="1" applyFont="1" applyBorder="1"/>
    <xf numFmtId="0" fontId="22" fillId="0" borderId="61" xfId="12" applyBorder="1"/>
    <xf numFmtId="39" fontId="0" fillId="0" borderId="40" xfId="17" applyNumberFormat="1" applyFont="1" applyBorder="1"/>
    <xf numFmtId="39" fontId="0" fillId="0" borderId="78" xfId="17" applyNumberFormat="1" applyFont="1" applyBorder="1"/>
    <xf numFmtId="168" fontId="22" fillId="0" borderId="70" xfId="12" applyNumberFormat="1" applyBorder="1"/>
    <xf numFmtId="168" fontId="22" fillId="0" borderId="76" xfId="12" applyNumberFormat="1" applyBorder="1"/>
    <xf numFmtId="0" fontId="22" fillId="15" borderId="38" xfId="0" applyFont="1" applyFill="1" applyBorder="1"/>
    <xf numFmtId="183" fontId="0" fillId="0" borderId="38" xfId="0" applyNumberFormat="1" applyBorder="1"/>
    <xf numFmtId="183" fontId="0" fillId="0" borderId="6" xfId="0" applyNumberFormat="1" applyBorder="1"/>
    <xf numFmtId="168" fontId="19" fillId="0" borderId="3" xfId="0" applyNumberFormat="1" applyFont="1" applyBorder="1"/>
    <xf numFmtId="168" fontId="0" fillId="0" borderId="0" xfId="0" applyNumberFormat="1"/>
    <xf numFmtId="39" fontId="19" fillId="0" borderId="3" xfId="0" applyNumberFormat="1" applyFont="1" applyBorder="1" applyAlignment="1">
      <alignment horizontal="left"/>
    </xf>
    <xf numFmtId="3" fontId="19" fillId="0" borderId="3" xfId="0" applyNumberFormat="1" applyFont="1" applyBorder="1" applyAlignment="1">
      <alignment horizontal="left"/>
    </xf>
    <xf numFmtId="168" fontId="19" fillId="0" borderId="3" xfId="0" applyNumberFormat="1" applyFont="1" applyBorder="1" applyAlignment="1">
      <alignment horizontal="left"/>
    </xf>
    <xf numFmtId="39" fontId="19" fillId="0" borderId="3" xfId="0" quotePrefix="1" applyNumberFormat="1" applyFont="1" applyBorder="1" applyAlignment="1">
      <alignment horizontal="left"/>
    </xf>
    <xf numFmtId="0" fontId="11" fillId="0" borderId="3" xfId="0" applyFont="1" applyBorder="1" applyAlignment="1">
      <alignment horizontal="left" wrapText="1"/>
    </xf>
    <xf numFmtId="44" fontId="51" fillId="0" borderId="76" xfId="12" applyNumberFormat="1" applyFont="1" applyBorder="1"/>
    <xf numFmtId="0" fontId="22" fillId="0" borderId="43" xfId="12" applyBorder="1"/>
    <xf numFmtId="0" fontId="22" fillId="0" borderId="51" xfId="12" applyBorder="1"/>
    <xf numFmtId="0" fontId="22" fillId="0" borderId="79" xfId="12" applyBorder="1"/>
    <xf numFmtId="0" fontId="22" fillId="18" borderId="63" xfId="12" applyFill="1" applyBorder="1"/>
    <xf numFmtId="0" fontId="22" fillId="18" borderId="81" xfId="12" applyFill="1" applyBorder="1"/>
    <xf numFmtId="0" fontId="52" fillId="0" borderId="60" xfId="12" applyFont="1" applyBorder="1"/>
    <xf numFmtId="0" fontId="52" fillId="17" borderId="82" xfId="12" applyFont="1" applyFill="1" applyBorder="1" applyAlignment="1">
      <alignment vertical="top" wrapText="1"/>
    </xf>
    <xf numFmtId="0" fontId="52" fillId="17" borderId="83" xfId="12" applyFont="1" applyFill="1" applyBorder="1" applyAlignment="1">
      <alignment vertical="top" wrapText="1"/>
    </xf>
    <xf numFmtId="0" fontId="52" fillId="15" borderId="82" xfId="12" applyFont="1" applyFill="1" applyBorder="1" applyAlignment="1">
      <alignment vertical="top" wrapText="1"/>
    </xf>
    <xf numFmtId="0" fontId="52" fillId="15" borderId="84" xfId="12" applyFont="1" applyFill="1" applyBorder="1" applyAlignment="1">
      <alignment vertical="top" wrapText="1"/>
    </xf>
    <xf numFmtId="0" fontId="52" fillId="17" borderId="85" xfId="12" applyFont="1" applyFill="1" applyBorder="1" applyAlignment="1">
      <alignment vertical="top" wrapText="1"/>
    </xf>
    <xf numFmtId="0" fontId="22" fillId="0" borderId="64" xfId="12" applyBorder="1"/>
    <xf numFmtId="39" fontId="0" fillId="0" borderId="80" xfId="17" applyNumberFormat="1" applyFont="1" applyBorder="1"/>
    <xf numFmtId="168" fontId="22" fillId="0" borderId="80" xfId="12" applyNumberFormat="1" applyBorder="1"/>
    <xf numFmtId="2" fontId="22" fillId="0" borderId="65" xfId="12" applyNumberFormat="1" applyBorder="1"/>
    <xf numFmtId="44" fontId="55" fillId="0" borderId="6" xfId="16" applyFont="1" applyBorder="1"/>
    <xf numFmtId="9" fontId="11" fillId="0" borderId="3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left"/>
    </xf>
    <xf numFmtId="2" fontId="5" fillId="0" borderId="6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43" fontId="12" fillId="0" borderId="38" xfId="0" applyNumberFormat="1" applyFont="1" applyBorder="1" applyAlignment="1">
      <alignment horizontal="center"/>
    </xf>
    <xf numFmtId="0" fontId="0" fillId="0" borderId="0" xfId="0" pivotButton="1"/>
    <xf numFmtId="168" fontId="5" fillId="0" borderId="0" xfId="0" applyNumberFormat="1" applyFont="1" applyAlignment="1">
      <alignment horizontal="left"/>
    </xf>
    <xf numFmtId="49" fontId="2" fillId="0" borderId="6" xfId="0" applyNumberFormat="1" applyFont="1" applyBorder="1" applyAlignment="1">
      <alignment horizontal="left" vertical="top"/>
    </xf>
    <xf numFmtId="10" fontId="5" fillId="7" borderId="10" xfId="0" applyNumberFormat="1" applyFont="1" applyFill="1" applyBorder="1" applyAlignment="1">
      <alignment horizontal="center"/>
    </xf>
    <xf numFmtId="10" fontId="5" fillId="7" borderId="13" xfId="0" applyNumberFormat="1" applyFont="1" applyFill="1" applyBorder="1" applyAlignment="1">
      <alignment horizontal="center"/>
    </xf>
    <xf numFmtId="10" fontId="5" fillId="7" borderId="17" xfId="0" applyNumberFormat="1" applyFont="1" applyFill="1" applyBorder="1" applyAlignment="1">
      <alignment horizontal="center"/>
    </xf>
    <xf numFmtId="49" fontId="34" fillId="17" borderId="60" xfId="12" applyNumberFormat="1" applyFont="1" applyFill="1" applyBorder="1" applyAlignment="1">
      <alignment horizontal="center" vertical="center"/>
    </xf>
    <xf numFmtId="9" fontId="53" fillId="7" borderId="60" xfId="12" applyNumberFormat="1" applyFont="1" applyFill="1" applyBorder="1" applyAlignment="1">
      <alignment horizontal="center" vertical="center" wrapText="1"/>
    </xf>
    <xf numFmtId="0" fontId="32" fillId="0" borderId="38" xfId="2" applyFont="1" applyBorder="1" applyAlignment="1" applyProtection="1">
      <alignment vertical="center"/>
      <protection hidden="1"/>
    </xf>
    <xf numFmtId="185" fontId="33" fillId="0" borderId="38" xfId="6" applyNumberFormat="1" applyFont="1" applyBorder="1" applyAlignment="1" applyProtection="1">
      <alignment vertical="center"/>
      <protection hidden="1"/>
    </xf>
    <xf numFmtId="10" fontId="35" fillId="0" borderId="38" xfId="6" applyNumberFormat="1" applyFont="1" applyBorder="1" applyAlignment="1" applyProtection="1">
      <alignment vertical="center"/>
      <protection hidden="1"/>
    </xf>
    <xf numFmtId="185" fontId="35" fillId="0" borderId="38" xfId="6" applyNumberFormat="1" applyFont="1" applyBorder="1" applyAlignment="1" applyProtection="1">
      <alignment vertical="center"/>
      <protection hidden="1"/>
    </xf>
    <xf numFmtId="10" fontId="35" fillId="0" borderId="45" xfId="3" applyNumberFormat="1" applyFont="1" applyBorder="1" applyAlignment="1">
      <alignment vertical="center"/>
    </xf>
    <xf numFmtId="191" fontId="39" fillId="0" borderId="38" xfId="7" applyFont="1" applyFill="1" applyBorder="1" applyAlignment="1" applyProtection="1">
      <alignment horizontal="right" vertical="center"/>
      <protection hidden="1"/>
    </xf>
    <xf numFmtId="168" fontId="39" fillId="0" borderId="47" xfId="2" applyNumberFormat="1" applyFont="1" applyBorder="1" applyAlignment="1" applyProtection="1">
      <alignment horizontal="left" vertical="center"/>
      <protection hidden="1"/>
    </xf>
    <xf numFmtId="192" fontId="33" fillId="0" borderId="6" xfId="6" applyNumberFormat="1" applyFont="1" applyAlignment="1" applyProtection="1">
      <alignment vertical="center"/>
      <protection hidden="1"/>
    </xf>
    <xf numFmtId="2" fontId="57" fillId="0" borderId="6" xfId="4" applyNumberFormat="1" applyFont="1" applyAlignment="1">
      <alignment vertical="center"/>
    </xf>
    <xf numFmtId="2" fontId="33" fillId="0" borderId="6" xfId="4" applyNumberFormat="1" applyFont="1" applyAlignment="1">
      <alignment vertical="center"/>
    </xf>
    <xf numFmtId="2" fontId="35" fillId="0" borderId="6" xfId="4" applyNumberFormat="1" applyFont="1" applyAlignment="1">
      <alignment vertical="center"/>
    </xf>
    <xf numFmtId="196" fontId="18" fillId="0" borderId="6" xfId="4" applyNumberFormat="1" applyFont="1" applyAlignment="1">
      <alignment horizontal="left" vertical="center"/>
    </xf>
    <xf numFmtId="2" fontId="40" fillId="15" borderId="43" xfId="2" applyNumberFormat="1" applyFont="1" applyFill="1" applyBorder="1" applyAlignment="1" applyProtection="1">
      <alignment horizontal="left" vertical="center"/>
      <protection hidden="1"/>
    </xf>
    <xf numFmtId="0" fontId="40" fillId="15" borderId="43" xfId="2" applyFont="1" applyFill="1" applyBorder="1" applyAlignment="1" applyProtection="1">
      <alignment horizontal="left" vertical="center"/>
      <protection hidden="1"/>
    </xf>
    <xf numFmtId="0" fontId="40" fillId="15" borderId="44" xfId="2" applyFont="1" applyFill="1" applyBorder="1" applyAlignment="1" applyProtection="1">
      <alignment horizontal="left" vertical="center"/>
      <protection hidden="1"/>
    </xf>
    <xf numFmtId="0" fontId="33" fillId="0" borderId="6" xfId="3" applyFont="1" applyAlignment="1">
      <alignment horizontal="left" vertical="center"/>
    </xf>
    <xf numFmtId="193" fontId="33" fillId="0" borderId="6" xfId="3" applyNumberFormat="1" applyFont="1" applyAlignment="1">
      <alignment vertical="center"/>
    </xf>
    <xf numFmtId="168" fontId="33" fillId="0" borderId="6" xfId="3" applyNumberFormat="1" applyFont="1" applyAlignment="1">
      <alignment vertical="center"/>
    </xf>
    <xf numFmtId="2" fontId="57" fillId="0" borderId="6" xfId="3" applyNumberFormat="1" applyFont="1" applyAlignment="1">
      <alignment vertical="center"/>
    </xf>
    <xf numFmtId="0" fontId="47" fillId="0" borderId="44" xfId="2" applyFont="1" applyBorder="1" applyAlignment="1" applyProtection="1">
      <alignment horizontal="center" vertical="center"/>
      <protection hidden="1"/>
    </xf>
    <xf numFmtId="194" fontId="33" fillId="0" borderId="44" xfId="2" applyNumberFormat="1" applyFont="1" applyBorder="1" applyAlignment="1" applyProtection="1">
      <alignment vertical="center"/>
      <protection hidden="1"/>
    </xf>
    <xf numFmtId="2" fontId="39" fillId="0" borderId="44" xfId="2" applyNumberFormat="1" applyFont="1" applyBorder="1" applyAlignment="1" applyProtection="1">
      <alignment vertical="center"/>
      <protection hidden="1"/>
    </xf>
    <xf numFmtId="0" fontId="33" fillId="0" borderId="44" xfId="2" applyFont="1" applyBorder="1" applyAlignment="1" applyProtection="1">
      <alignment vertical="center"/>
      <protection hidden="1"/>
    </xf>
    <xf numFmtId="0" fontId="33" fillId="0" borderId="45" xfId="2" applyFont="1" applyBorder="1" applyAlignment="1" applyProtection="1">
      <alignment horizontal="right" vertical="center"/>
      <protection hidden="1"/>
    </xf>
    <xf numFmtId="2" fontId="35" fillId="0" borderId="6" xfId="2" applyNumberFormat="1" applyFont="1" applyAlignment="1" applyProtection="1">
      <alignment horizontal="center" vertical="center"/>
      <protection hidden="1"/>
    </xf>
    <xf numFmtId="10" fontId="39" fillId="0" borderId="38" xfId="8" applyNumberFormat="1" applyFont="1" applyFill="1" applyBorder="1" applyAlignment="1" applyProtection="1">
      <alignment horizontal="right" vertical="center"/>
      <protection hidden="1"/>
    </xf>
    <xf numFmtId="0" fontId="44" fillId="0" borderId="43" xfId="2" applyFont="1" applyBorder="1" applyAlignment="1" applyProtection="1">
      <alignment vertical="center"/>
      <protection hidden="1"/>
    </xf>
    <xf numFmtId="194" fontId="44" fillId="0" borderId="38" xfId="9" applyFont="1" applyFill="1" applyBorder="1" applyAlignment="1" applyProtection="1">
      <alignment horizontal="right" vertical="center"/>
      <protection locked="0"/>
    </xf>
    <xf numFmtId="3" fontId="11" fillId="0" borderId="14" xfId="0" applyNumberFormat="1" applyFont="1" applyBorder="1" applyAlignment="1">
      <alignment horizontal="left" wrapText="1"/>
    </xf>
    <xf numFmtId="3" fontId="11" fillId="0" borderId="26" xfId="0" applyNumberFormat="1" applyFont="1" applyBorder="1" applyAlignment="1">
      <alignment horizontal="left" vertical="top" wrapText="1"/>
    </xf>
    <xf numFmtId="0" fontId="11" fillId="0" borderId="25" xfId="0" applyFont="1" applyBorder="1" applyAlignment="1">
      <alignment horizontal="left"/>
    </xf>
    <xf numFmtId="0" fontId="11" fillId="0" borderId="2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187" fontId="12" fillId="0" borderId="24" xfId="0" applyNumberFormat="1" applyFont="1" applyBorder="1" applyAlignment="1">
      <alignment horizontal="right"/>
    </xf>
    <xf numFmtId="168" fontId="11" fillId="0" borderId="3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8" fontId="12" fillId="0" borderId="3" xfId="0" applyNumberFormat="1" applyFont="1" applyBorder="1" applyAlignment="1">
      <alignment horizontal="center"/>
    </xf>
    <xf numFmtId="0" fontId="11" fillId="0" borderId="14" xfId="0" applyFont="1" applyBorder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2" fontId="12" fillId="0" borderId="0" xfId="0" applyNumberFormat="1" applyFont="1" applyAlignment="1">
      <alignment horizontal="left"/>
    </xf>
    <xf numFmtId="184" fontId="8" fillId="0" borderId="0" xfId="0" applyNumberFormat="1" applyFont="1" applyAlignment="1">
      <alignment horizontal="left"/>
    </xf>
    <xf numFmtId="2" fontId="12" fillId="0" borderId="0" xfId="0" applyNumberFormat="1" applyFont="1"/>
    <xf numFmtId="2" fontId="12" fillId="2" borderId="14" xfId="0" applyNumberFormat="1" applyFont="1" applyFill="1" applyBorder="1" applyAlignment="1">
      <alignment horizontal="left"/>
    </xf>
    <xf numFmtId="2" fontId="12" fillId="0" borderId="25" xfId="0" applyNumberFormat="1" applyFont="1" applyBorder="1" applyAlignment="1">
      <alignment horizontal="left"/>
    </xf>
    <xf numFmtId="2" fontId="12" fillId="0" borderId="15" xfId="0" applyNumberFormat="1" applyFont="1" applyBorder="1" applyAlignment="1">
      <alignment horizontal="left"/>
    </xf>
    <xf numFmtId="2" fontId="12" fillId="0" borderId="27" xfId="0" applyNumberFormat="1" applyFont="1" applyBorder="1" applyAlignment="1">
      <alignment horizontal="left"/>
    </xf>
    <xf numFmtId="0" fontId="1" fillId="0" borderId="15" xfId="0" applyFont="1" applyBorder="1"/>
    <xf numFmtId="2" fontId="12" fillId="0" borderId="28" xfId="0" applyNumberFormat="1" applyFont="1" applyBorder="1" applyAlignment="1">
      <alignment horizontal="left"/>
    </xf>
    <xf numFmtId="0" fontId="10" fillId="0" borderId="3" xfId="0" applyFont="1" applyBorder="1"/>
    <xf numFmtId="42" fontId="19" fillId="8" borderId="29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/>
    </xf>
    <xf numFmtId="168" fontId="19" fillId="0" borderId="14" xfId="0" applyNumberFormat="1" applyFont="1" applyBorder="1" applyAlignment="1">
      <alignment vertical="center"/>
    </xf>
    <xf numFmtId="0" fontId="0" fillId="0" borderId="38" xfId="0" applyBorder="1" applyAlignment="1">
      <alignment vertical="top" wrapText="1"/>
    </xf>
    <xf numFmtId="0" fontId="0" fillId="0" borderId="38" xfId="0" applyBorder="1" applyAlignment="1">
      <alignment vertical="center"/>
    </xf>
    <xf numFmtId="168" fontId="0" fillId="0" borderId="38" xfId="0" applyNumberFormat="1" applyBorder="1" applyAlignment="1">
      <alignment vertical="center"/>
    </xf>
    <xf numFmtId="44" fontId="0" fillId="0" borderId="40" xfId="14" applyFont="1" applyBorder="1"/>
    <xf numFmtId="168" fontId="58" fillId="0" borderId="6" xfId="12" applyNumberFormat="1" applyFont="1"/>
    <xf numFmtId="2" fontId="4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5" fillId="0" borderId="6" xfId="0" applyNumberFormat="1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49" fillId="15" borderId="56" xfId="12" applyFont="1" applyFill="1" applyBorder="1" applyAlignment="1">
      <alignment horizontal="center" vertical="center"/>
    </xf>
    <xf numFmtId="0" fontId="49" fillId="0" borderId="57" xfId="12" applyFont="1" applyBorder="1" applyAlignment="1">
      <alignment horizontal="center" vertical="center"/>
    </xf>
    <xf numFmtId="0" fontId="49" fillId="0" borderId="58" xfId="12" applyFont="1" applyBorder="1" applyAlignment="1">
      <alignment horizontal="center" vertical="center"/>
    </xf>
    <xf numFmtId="0" fontId="49" fillId="0" borderId="59" xfId="12" applyFont="1" applyBorder="1" applyAlignment="1">
      <alignment horizontal="center" vertical="center"/>
    </xf>
    <xf numFmtId="0" fontId="49" fillId="17" borderId="56" xfId="12" applyFont="1" applyFill="1" applyBorder="1" applyAlignment="1">
      <alignment horizontal="center" vertical="center"/>
    </xf>
    <xf numFmtId="49" fontId="40" fillId="15" borderId="43" xfId="5" applyNumberFormat="1" applyFont="1" applyFill="1" applyBorder="1" applyAlignment="1">
      <alignment horizontal="left" vertical="center" wrapText="1"/>
    </xf>
    <xf numFmtId="49" fontId="40" fillId="15" borderId="44" xfId="5" applyNumberFormat="1" applyFont="1" applyFill="1" applyBorder="1" applyAlignment="1">
      <alignment horizontal="left" vertical="center" wrapText="1"/>
    </xf>
    <xf numFmtId="49" fontId="40" fillId="15" borderId="45" xfId="5" applyNumberFormat="1" applyFont="1" applyFill="1" applyBorder="1" applyAlignment="1">
      <alignment horizontal="left" vertical="center" wrapText="1"/>
    </xf>
    <xf numFmtId="0" fontId="33" fillId="0" borderId="43" xfId="3" applyFont="1" applyBorder="1" applyAlignment="1">
      <alignment horizontal="left" vertical="center"/>
    </xf>
    <xf numFmtId="0" fontId="33" fillId="0" borderId="45" xfId="3" applyFont="1" applyBorder="1" applyAlignment="1">
      <alignment horizontal="left" vertical="center"/>
    </xf>
    <xf numFmtId="0" fontId="35" fillId="0" borderId="43" xfId="2" applyFont="1" applyBorder="1" applyAlignment="1" applyProtection="1">
      <alignment horizontal="left" vertical="center"/>
      <protection hidden="1"/>
    </xf>
    <xf numFmtId="0" fontId="35" fillId="0" borderId="45" xfId="2" applyFont="1" applyBorder="1" applyAlignment="1" applyProtection="1">
      <alignment horizontal="left" vertical="center"/>
      <protection hidden="1"/>
    </xf>
    <xf numFmtId="2" fontId="40" fillId="15" borderId="38" xfId="2" applyNumberFormat="1" applyFont="1" applyFill="1" applyBorder="1" applyAlignment="1" applyProtection="1">
      <alignment horizontal="center" vertical="center" wrapText="1"/>
      <protection hidden="1"/>
    </xf>
    <xf numFmtId="0" fontId="33" fillId="0" borderId="6" xfId="3" applyFont="1" applyAlignment="1">
      <alignment horizontal="left" vertical="center" wrapText="1"/>
    </xf>
    <xf numFmtId="2" fontId="40" fillId="15" borderId="43" xfId="9" applyNumberFormat="1" applyFont="1" applyFill="1" applyBorder="1" applyAlignment="1" applyProtection="1">
      <alignment horizontal="center" vertical="center" wrapText="1"/>
      <protection hidden="1"/>
    </xf>
    <xf numFmtId="0" fontId="40" fillId="15" borderId="45" xfId="3" applyFont="1" applyFill="1" applyBorder="1" applyAlignment="1">
      <alignment horizontal="center" vertical="center" wrapText="1"/>
    </xf>
    <xf numFmtId="2" fontId="40" fillId="15" borderId="43" xfId="2" applyNumberFormat="1" applyFont="1" applyFill="1" applyBorder="1" applyAlignment="1" applyProtection="1">
      <alignment horizontal="center" vertical="center" wrapText="1"/>
      <protection hidden="1"/>
    </xf>
    <xf numFmtId="2" fontId="40" fillId="15" borderId="44" xfId="2" applyNumberFormat="1" applyFont="1" applyFill="1" applyBorder="1" applyAlignment="1" applyProtection="1">
      <alignment horizontal="center" vertical="center" wrapText="1"/>
      <protection hidden="1"/>
    </xf>
    <xf numFmtId="2" fontId="40" fillId="15" borderId="45" xfId="2" applyNumberFormat="1" applyFont="1" applyFill="1" applyBorder="1" applyAlignment="1" applyProtection="1">
      <alignment horizontal="center" vertical="center" wrapText="1"/>
      <protection hidden="1"/>
    </xf>
    <xf numFmtId="0" fontId="37" fillId="15" borderId="45" xfId="3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/>
    </xf>
    <xf numFmtId="0" fontId="6" fillId="0" borderId="33" xfId="0" applyFont="1" applyBorder="1"/>
    <xf numFmtId="0" fontId="6" fillId="0" borderId="34" xfId="0" applyFont="1" applyBorder="1"/>
    <xf numFmtId="0" fontId="8" fillId="0" borderId="14" xfId="0" applyFont="1" applyBorder="1" applyAlignment="1">
      <alignment horizontal="center"/>
    </xf>
    <xf numFmtId="0" fontId="6" fillId="0" borderId="25" xfId="0" applyFont="1" applyBorder="1"/>
    <xf numFmtId="0" fontId="6" fillId="0" borderId="15" xfId="0" applyFont="1" applyBorder="1"/>
  </cellXfs>
  <cellStyles count="18">
    <cellStyle name="Comma_Uurtarieven 2000 LEVERANCIER" xfId="9" xr:uid="{8C80DF98-C0F7-2B46-8968-8331D667FFD6}"/>
    <cellStyle name="Currency_ATIR-Calc-Uurtarief 2001" xfId="11" xr:uid="{0902CEAA-CFC7-9847-B3B8-8A5D070DB497}"/>
    <cellStyle name="Komma 2" xfId="10" xr:uid="{5D53E4B7-D87D-1140-8F8A-E34527013741}"/>
    <cellStyle name="Komma 3" xfId="17" xr:uid="{1C2EF6A4-737D-3845-82A3-6589600E25E2}"/>
    <cellStyle name="Normal_ATIR-Calc-Uurtarief 2001" xfId="6" xr:uid="{874AD7B1-245C-7E4E-902D-8A1111335C42}"/>
    <cellStyle name="Normal_CALCULATIEBLAD.XLS" xfId="4" xr:uid="{510C6A86-4665-344F-B857-868C188479A3}"/>
    <cellStyle name="Normal_CALCULATIEBLAD.XLS 2" xfId="5" xr:uid="{3D8C2A7F-DBDB-0B46-AB80-99A309C8B67E}"/>
    <cellStyle name="Normal_Uurtarieven 2000 LEVERANCIER" xfId="2" xr:uid="{FF39DABC-B225-044A-AAFF-21223D3ECADC}"/>
    <cellStyle name="Procent" xfId="1" builtinId="5"/>
    <cellStyle name="Procent 2" xfId="8" xr:uid="{6A2A5B71-75E2-8048-9E1D-CF5B47AE39D5}"/>
    <cellStyle name="Procent 2 2" xfId="13" xr:uid="{7E06A507-1C46-0C4B-9873-9E8CF58CDB72}"/>
    <cellStyle name="Procent 3" xfId="15" xr:uid="{D04F0A1C-895F-CE46-B335-EC1813092D8E}"/>
    <cellStyle name="Standaard" xfId="0" builtinId="0"/>
    <cellStyle name="Standaard 2" xfId="3" xr:uid="{D8F7DF9B-D99A-8F4A-B27B-B5F8C58909E4}"/>
    <cellStyle name="Standaard 3" xfId="12" xr:uid="{4E7CF0BB-C7CD-9741-AF89-694F9FC136A0}"/>
    <cellStyle name="Valuta" xfId="14" builtinId="4"/>
    <cellStyle name="Valuta 2" xfId="7" xr:uid="{3EB6A7DF-3DFA-FC43-B2BF-DD779014F1F3}"/>
    <cellStyle name="Valuta 3" xfId="16" xr:uid="{F693679C-478F-A34B-AB23-39FB263FFC0B}"/>
  </cellStyles>
  <dxfs count="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37" Type="http://customschemas.google.com/relationships/workbookmetadata" Target="metadata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43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21166</xdr:colOff>
      <xdr:row>0</xdr:row>
      <xdr:rowOff>63501</xdr:rowOff>
    </xdr:from>
    <xdr:to>
      <xdr:col>14</xdr:col>
      <xdr:colOff>42333</xdr:colOff>
      <xdr:row>6</xdr:row>
      <xdr:rowOff>63500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B01F506D-BD6C-C041-BA94-60C8D328BE8C}"/>
            </a:ext>
          </a:extLst>
        </xdr:cNvPr>
        <xdr:cNvSpPr txBox="1"/>
      </xdr:nvSpPr>
      <xdr:spPr>
        <a:xfrm>
          <a:off x="7945966" y="63501"/>
          <a:ext cx="7374467" cy="10921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>
              <a:solidFill>
                <a:srgbClr val="FF0000"/>
              </a:solidFill>
              <a:latin typeface="Century Gothic" panose="020B0502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Onderstaand geeft de dienstverlener een opbouw van het gemiddelde uurloon voor reguliere werkzaamheden. Dit uurtarief is gebaseerd op de gemiddelde bedrijfssituatie van de dienstverlener.</a:t>
          </a:r>
        </a:p>
        <a:p>
          <a:r>
            <a:rPr lang="nl-NL" sz="1000">
              <a:solidFill>
                <a:srgbClr val="FF0000"/>
              </a:solidFill>
              <a:latin typeface="Century Gothic" panose="020B0502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Het opgegeven gemiddelde uurtarief is de basis voor toekomstige prijsverhogingen.</a:t>
          </a:r>
        </a:p>
        <a:p>
          <a:r>
            <a:rPr lang="nl-NL" sz="1000">
              <a:solidFill>
                <a:srgbClr val="FF0000"/>
              </a:solidFill>
              <a:latin typeface="Century Gothic" panose="020B0502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Gedurende de contractperiode worden de opgegeven percentages per loongroep, waarop het opgegeven gemiddelde uurtarief is gebaseerd, NIET aangepast.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21166</xdr:colOff>
      <xdr:row>0</xdr:row>
      <xdr:rowOff>63501</xdr:rowOff>
    </xdr:from>
    <xdr:to>
      <xdr:col>14</xdr:col>
      <xdr:colOff>0</xdr:colOff>
      <xdr:row>5</xdr:row>
      <xdr:rowOff>209550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C11848E-FE38-3E44-8106-7C1293A7D160}"/>
            </a:ext>
          </a:extLst>
        </xdr:cNvPr>
        <xdr:cNvSpPr txBox="1"/>
      </xdr:nvSpPr>
      <xdr:spPr>
        <a:xfrm>
          <a:off x="8022166" y="63501"/>
          <a:ext cx="7357534" cy="10223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>
              <a:solidFill>
                <a:srgbClr val="FF0000"/>
              </a:solidFill>
              <a:latin typeface="Century Gothic" panose="020B0502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Onderstaand geeft de dienstverlener een opbouw van het gemiddelde uurloon voor reguliere werkzaamheden. Dit uurtarief is gebaseerd op de gemiddelde bedrijfssituatie van de dienstverlener.</a:t>
          </a:r>
        </a:p>
        <a:p>
          <a:r>
            <a:rPr lang="nl-NL" sz="1000">
              <a:solidFill>
                <a:srgbClr val="FF0000"/>
              </a:solidFill>
              <a:latin typeface="Century Gothic" panose="020B0502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Het opgegeven gemiddelde uurtarief is de basis voor toekomstige prijsverhogingen.</a:t>
          </a:r>
        </a:p>
        <a:p>
          <a:r>
            <a:rPr lang="nl-NL" sz="1000">
              <a:solidFill>
                <a:srgbClr val="FF0000"/>
              </a:solidFill>
              <a:latin typeface="Century Gothic" panose="020B0502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Gedurende de contractperiode worden de opgegeven percentages per loongroep, waarop het opgegeven gemiddelde uurtarief is gebaseerd, NIET aangepast.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ed Singels" refreshedDate="46188.417893287035" createdVersion="8" refreshedVersion="8" minRefreshableVersion="3" recordCount="542" xr:uid="{6E4DDBB8-C7D9-E34F-828B-AFAC8ACC6DCE}">
  <cacheSource type="worksheet">
    <worksheetSource ref="C8:J550" sheet="3-Basis ruimtestaat"/>
  </cacheSource>
  <cacheFields count="8">
    <cacheField name="LOCATIE" numFmtId="2">
      <sharedItems count="18">
        <s v="Evenementenhal Vegelinsweg 6d/6c"/>
        <s v="Gemeentehuis Heremastate 1"/>
        <s v="Gemeentehuis Heremastate 5"/>
        <s v="Gemeentewerf Lemmer"/>
        <s v="Gemeentewerf/milieustraat Balk"/>
        <s v="Gymzaal Balk"/>
        <s v="Gymzaal Kampke"/>
        <s v="Gymzaal Streek "/>
        <s v="Huisvesting Buitendienst"/>
        <s v="Opvanglocatie Huis ter Heide"/>
        <s v="Opvanglocatie Hotel Tjeukemeer"/>
        <s v="Opvanglocatie IJsvogel"/>
        <s v="Opvanglocatie Welgelegen"/>
        <s v="Raadhuis Balk"/>
        <s v="Servicepunt Balk  "/>
        <s v="Servicepunt Lemmer  "/>
        <s v="Sporthal De Trime Balk (28160)"/>
        <s v="Voormalig Gemeentehuis Lemmer"/>
      </sharedItems>
    </cacheField>
    <cacheField name="VERD." numFmtId="0">
      <sharedItems containsMixedTypes="1" containsNumber="1" containsInteger="1" minValue="-1" maxValue="2"/>
    </cacheField>
    <cacheField name="RUIMTE NR " numFmtId="0">
      <sharedItems containsBlank="1" containsMixedTypes="1" containsNumber="1" containsInteger="1" minValue="1" maxValue="2111"/>
    </cacheField>
    <cacheField name="RUIMTE OMSCHRIJVING (OPDRACHTGEVER)" numFmtId="0">
      <sharedItems/>
    </cacheField>
    <cacheField name="RUIMTECATEGORIE" numFmtId="2">
      <sharedItems/>
    </cacheField>
    <cacheField name="VLOER SOORT" numFmtId="0">
      <sharedItems containsBlank="1"/>
    </cacheField>
    <cacheField name="M2 VLOER" numFmtId="0">
      <sharedItems containsString="0" containsBlank="1" containsNumber="1" minValue="0" maxValue="535"/>
    </cacheField>
    <cacheField name="PROGR. CODE" numFmtId="176">
      <sharedItems containsMixedTypes="1" containsNumber="1" containsInteger="1" minValue="1026" maxValue="192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2">
  <r>
    <x v="0"/>
    <n v="0"/>
    <s v="0.01"/>
    <s v="Kantoor"/>
    <s v="Bureaukamer"/>
    <s v="Tapijt"/>
    <n v="15"/>
    <n v="1026"/>
  </r>
  <r>
    <x v="0"/>
    <n v="0"/>
    <s v="0.02"/>
    <s v="Sanitair"/>
    <s v="Sanitaire ruimte"/>
    <s v="Steen "/>
    <n v="4"/>
    <n v="2026"/>
  </r>
  <r>
    <x v="0"/>
    <n v="0"/>
    <s v="0.03"/>
    <s v="Sanitair"/>
    <s v="Sanitaire ruimte"/>
    <s v="Steen "/>
    <n v="4"/>
    <n v="2026"/>
  </r>
  <r>
    <x v="1"/>
    <n v="-1"/>
    <s v="K01"/>
    <s v="Magazijn"/>
    <s v="Verkeersruimte"/>
    <s v="Tapijt"/>
    <n v="117.7"/>
    <s v="nvt"/>
  </r>
  <r>
    <x v="1"/>
    <n v="-1"/>
    <s v="K01"/>
    <s v="Magazijn"/>
    <s v="Verkeersruimte"/>
    <s v="DHGT"/>
    <n v="7.7"/>
    <s v="nvt"/>
  </r>
  <r>
    <x v="1"/>
    <n v="-1"/>
    <s v="K02"/>
    <s v="Vergaderruimte"/>
    <s v="Bureaukamer"/>
    <s v="Tapijt"/>
    <n v="38.299999999999997"/>
    <s v="nvt"/>
  </r>
  <r>
    <x v="1"/>
    <n v="-1"/>
    <s v="K03"/>
    <s v="Kantoor"/>
    <s v="Bureaukamer"/>
    <s v="Gietvloer"/>
    <n v="204.1"/>
    <s v="nvt"/>
  </r>
  <r>
    <x v="1"/>
    <n v="-1"/>
    <s v="K04"/>
    <s v="Technische ruimte"/>
    <s v="Verkeersruimte"/>
    <s v="Beton"/>
    <n v="46.8"/>
    <s v="nvt"/>
  </r>
  <r>
    <x v="1"/>
    <n v="-1"/>
    <s v="K05"/>
    <s v="Trap"/>
    <s v="Verkeersruimte"/>
    <s v="DHGT"/>
    <n v="46.4"/>
    <s v="nvt"/>
  </r>
  <r>
    <x v="1"/>
    <n v="-1"/>
    <s v="K06"/>
    <s v="Berging"/>
    <s v="Verkeersruimte"/>
    <s v="Beton"/>
    <n v="36.700000000000003"/>
    <s v="nvt"/>
  </r>
  <r>
    <x v="1"/>
    <n v="-1"/>
    <s v="K06"/>
    <s v="Berging"/>
    <s v="Verkeersruimte"/>
    <s v="Tapijt"/>
    <n v="24.8"/>
    <s v="nvt"/>
  </r>
  <r>
    <x v="1"/>
    <n v="-1"/>
    <s v="K07"/>
    <s v="Trap"/>
    <s v="Verkeersruimte"/>
    <s v="Beton"/>
    <n v="7.3"/>
    <s v="nvt"/>
  </r>
  <r>
    <x v="1"/>
    <n v="-1"/>
    <s v="K08"/>
    <s v="Entree"/>
    <s v="Verkeersruimte"/>
    <s v="Beton"/>
    <n v="11.2"/>
    <s v="nvt"/>
  </r>
  <r>
    <x v="1"/>
    <n v="-1"/>
    <s v="K09"/>
    <s v="Berging"/>
    <s v="Verkeersruimte"/>
    <s v="Beton"/>
    <n v="11.2"/>
    <s v="nvt"/>
  </r>
  <r>
    <x v="1"/>
    <n v="-1"/>
    <s v="K10"/>
    <s v="Berging"/>
    <s v="Verkeersruimte"/>
    <s v="Beton"/>
    <n v="21.6"/>
    <s v="nvt"/>
  </r>
  <r>
    <x v="1"/>
    <n v="-1"/>
    <s v="K11"/>
    <s v="Berging"/>
    <s v="Verkeersruimte"/>
    <s v="Beton"/>
    <n v="16.8"/>
    <s v="nvt"/>
  </r>
  <r>
    <x v="1"/>
    <n v="-1"/>
    <s v="K12"/>
    <s v="Berging"/>
    <s v="Verkeersruimte"/>
    <s v="Beton"/>
    <n v="27.2"/>
    <s v="nvt"/>
  </r>
  <r>
    <x v="1"/>
    <n v="-1"/>
    <s v="K13"/>
    <s v="Parkeergarage"/>
    <s v="Verkeersruimte"/>
    <s v="Beton"/>
    <n v="365"/>
    <s v="nvt"/>
  </r>
  <r>
    <x v="1"/>
    <n v="-1"/>
    <s v="K14"/>
    <s v="Parkeergarage"/>
    <s v="Verkeersruimte"/>
    <s v="Beton"/>
    <n v="535"/>
    <s v="nvt"/>
  </r>
  <r>
    <x v="1"/>
    <n v="-1"/>
    <s v="K15"/>
    <s v="Meterkast"/>
    <s v="Verkeersruimte"/>
    <s v="Beton"/>
    <n v="6.6"/>
    <s v="nvt"/>
  </r>
  <r>
    <x v="1"/>
    <n v="-1"/>
    <s v="K16"/>
    <s v="Trap"/>
    <s v="Verkeersruimte"/>
    <s v="Tapijt"/>
    <n v="5.9"/>
    <s v="nvt"/>
  </r>
  <r>
    <x v="1"/>
    <n v="-1"/>
    <s v="K16"/>
    <s v="Trap"/>
    <s v="Verkeersruimte"/>
    <s v="Hout"/>
    <n v="12.7"/>
    <n v="5255"/>
  </r>
  <r>
    <x v="1"/>
    <n v="-1"/>
    <s v="K17"/>
    <s v="Berging"/>
    <s v="Verkeersruimte"/>
    <s v="Beton"/>
    <n v="2.1"/>
    <s v="nvt"/>
  </r>
  <r>
    <x v="1"/>
    <n v="-1"/>
    <s v="K18"/>
    <s v="Nio"/>
    <s v="Verkeersruimte"/>
    <s v="Beton"/>
    <n v="2.1"/>
    <s v="nvt"/>
  </r>
  <r>
    <x v="1"/>
    <n v="-1"/>
    <s v="K19"/>
    <s v="Meterkast"/>
    <s v="Verkeersruimte"/>
    <s v="?"/>
    <n v="0.8"/>
    <s v="nvt"/>
  </r>
  <r>
    <x v="1"/>
    <n v="-1"/>
    <s v="K20"/>
    <s v="Meterkast"/>
    <s v="Verkeersruimte"/>
    <s v="?"/>
    <n v="2.2000000000000002"/>
    <s v="nvt"/>
  </r>
  <r>
    <x v="1"/>
    <n v="-1"/>
    <s v="K21"/>
    <s v="Berging"/>
    <s v="Verkeersruimte"/>
    <s v="Beton"/>
    <n v="11.5"/>
    <s v="nvt"/>
  </r>
  <r>
    <x v="1"/>
    <n v="-1"/>
    <s v="K22"/>
    <s v="Noodtrap"/>
    <s v="Verkeersruimte"/>
    <s v="Tapijt"/>
    <n v="11.1"/>
    <s v="nvt"/>
  </r>
  <r>
    <x v="1"/>
    <n v="-1"/>
    <s v="K22"/>
    <s v="Noodtrap"/>
    <s v="Verkeersruimte"/>
    <s v="Hout"/>
    <n v="7.5"/>
    <s v="nvt"/>
  </r>
  <r>
    <x v="1"/>
    <n v="-1"/>
    <s v="K23"/>
    <s v="Meterkast"/>
    <s v="Verkeersruimte"/>
    <s v="Beton"/>
    <n v="5.2"/>
    <s v="nvt"/>
  </r>
  <r>
    <x v="1"/>
    <n v="0"/>
    <s v="B01"/>
    <s v="Kantoor"/>
    <s v="Bureaukamer"/>
    <s v="Tapijt"/>
    <n v="75"/>
    <n v="1104"/>
  </r>
  <r>
    <x v="1"/>
    <n v="0"/>
    <s v="B0H02"/>
    <s v="Lockerruimte"/>
    <s v="Verkeersruimte"/>
    <s v="Tapijt"/>
    <n v="15.3"/>
    <n v="3255"/>
  </r>
  <r>
    <x v="1"/>
    <n v="0"/>
    <s v="B02"/>
    <s v="Kantoor"/>
    <s v="Bureaukamer"/>
    <s v="Tapijt"/>
    <n v="7.7"/>
    <n v="1104"/>
  </r>
  <r>
    <x v="1"/>
    <n v="0"/>
    <s v="B03"/>
    <s v="Kantoor"/>
    <s v="Bureaukamer"/>
    <s v="Tapijt"/>
    <n v="7.7"/>
    <n v="1104"/>
  </r>
  <r>
    <x v="1"/>
    <n v="0"/>
    <s v="B04"/>
    <s v="Balie"/>
    <s v="Bureaukamer"/>
    <s v="Tapijt"/>
    <n v="7.7"/>
    <n v="1104"/>
  </r>
  <r>
    <x v="1"/>
    <n v="0"/>
    <s v="B05"/>
    <s v="Entree"/>
    <s v="Verkeersruimte"/>
    <s v="Schoonloopmat"/>
    <n v="14"/>
    <n v="8255"/>
  </r>
  <r>
    <x v="1"/>
    <n v="0"/>
    <s v="B06"/>
    <s v="Kantoor"/>
    <s v="Bureaukamer"/>
    <s v="Tapijt"/>
    <n v="20.5"/>
    <n v="1104"/>
  </r>
  <r>
    <x v="1"/>
    <n v="0"/>
    <s v="B07"/>
    <s v="Kantoor"/>
    <s v="Bureaukamer"/>
    <s v="Tapijt"/>
    <n v="15"/>
    <n v="1104"/>
  </r>
  <r>
    <x v="1"/>
    <n v="0"/>
    <s v="B08"/>
    <s v="Kantoor"/>
    <s v="Bureaukamer"/>
    <s v="Tapijt"/>
    <n v="47"/>
    <n v="1104"/>
  </r>
  <r>
    <x v="1"/>
    <n v="0"/>
    <s v="B09"/>
    <s v="Balie"/>
    <s v="Bureaukamer"/>
    <s v="Tapijt"/>
    <n v="25"/>
    <n v="1104"/>
  </r>
  <r>
    <x v="1"/>
    <n v="0"/>
    <s v="B11"/>
    <s v="Trap"/>
    <s v="Verkeersruimte"/>
    <s v="Steen/tapijt"/>
    <n v="19.899999999999999"/>
    <n v="5052"/>
  </r>
  <r>
    <x v="1"/>
    <n v="0"/>
    <s v="B25"/>
    <s v="Centrale hal"/>
    <s v="Verkeersruimte"/>
    <s v="Gietvloer"/>
    <n v="308"/>
    <n v="3510"/>
  </r>
  <r>
    <x v="1"/>
    <n v="0"/>
    <s v="B26"/>
    <s v="Trap"/>
    <s v="Verkeersruimte"/>
    <s v="Hout"/>
    <n v="9.1"/>
    <n v="5255"/>
  </r>
  <r>
    <x v="1"/>
    <n v="0"/>
    <s v="B31"/>
    <s v="Kantoor"/>
    <s v="Bureaukamer"/>
    <s v="Tapijt"/>
    <n v="42.4"/>
    <n v="1104"/>
  </r>
  <r>
    <x v="1"/>
    <n v="0"/>
    <s v="B32A"/>
    <s v="Kantoor"/>
    <s v="Bureaukamer"/>
    <s v="Tapijt"/>
    <n v="9"/>
    <n v="1104"/>
  </r>
  <r>
    <x v="1"/>
    <n v="0"/>
    <s v="B32B"/>
    <s v="Kantoor"/>
    <s v="Bureaukamer"/>
    <s v="Tapijt"/>
    <n v="9"/>
    <n v="1104"/>
  </r>
  <r>
    <x v="1"/>
    <n v="0"/>
    <s v="B33"/>
    <s v="Postkamer"/>
    <s v="Bureaukamer"/>
    <s v="Tapijt"/>
    <n v="15.3"/>
    <n v="1104"/>
  </r>
  <r>
    <x v="1"/>
    <n v="0"/>
    <s v="B36A"/>
    <s v="Kleedruimte/douches"/>
    <s v="Sanitaire ruimte"/>
    <s v="Gietvloer"/>
    <n v="14.3"/>
    <n v="2255"/>
  </r>
  <r>
    <x v="1"/>
    <n v="0"/>
    <s v="B36B"/>
    <s v="Dames hal"/>
    <s v="Sanitaire ruimte"/>
    <s v="Gietvloer"/>
    <n v="14.2"/>
    <n v="2510"/>
  </r>
  <r>
    <x v="1"/>
    <n v="0"/>
    <s v="B37A"/>
    <s v="Heren hal"/>
    <s v="Sanitaire ruimte"/>
    <s v="Gietvloer"/>
    <n v="9.5"/>
    <n v="2510"/>
  </r>
  <r>
    <x v="1"/>
    <n v="0"/>
    <s v="B37B"/>
    <s v="Kleedruimte/douches"/>
    <s v="Sanitaire ruimte"/>
    <s v="Gietvloer"/>
    <n v="14.3"/>
    <n v="2255"/>
  </r>
  <r>
    <x v="1"/>
    <n v="0"/>
    <s v="B41"/>
    <s v="Kantoor"/>
    <s v="Bureaukamer"/>
    <s v="Tapijt"/>
    <n v="19"/>
    <n v="1104"/>
  </r>
  <r>
    <x v="1"/>
    <n v="0"/>
    <s v="B43"/>
    <s v="Hal"/>
    <s v="Verkeersruimte"/>
    <s v="Natuursteen"/>
    <n v="37.9"/>
    <n v="18255"/>
  </r>
  <r>
    <x v="1"/>
    <n v="0"/>
    <s v="B43A"/>
    <s v="Trap "/>
    <s v="Verkeersruimte"/>
    <s v="Tapijt"/>
    <n v="7.2"/>
    <n v="5255"/>
  </r>
  <r>
    <x v="1"/>
    <n v="0"/>
    <s v="B44"/>
    <s v="Hal"/>
    <s v="Verkeersruimte"/>
    <s v="Tapijt"/>
    <n v="7.5"/>
    <n v="18255"/>
  </r>
  <r>
    <x v="1"/>
    <n v="0"/>
    <s v="B46"/>
    <s v="Spoelkeuken"/>
    <s v="Verkeersruimte"/>
    <s v="Gietvloer"/>
    <n v="10"/>
    <s v="nvt"/>
  </r>
  <r>
    <x v="1"/>
    <n v="0"/>
    <s v="B47"/>
    <s v="Uitgifte keuken"/>
    <s v="Verkeersruimte"/>
    <s v="Gietvloer"/>
    <n v="29"/>
    <s v="nvt"/>
  </r>
  <r>
    <x v="1"/>
    <n v="0"/>
    <s v="B48"/>
    <s v="Opslag keuken"/>
    <s v="Verkeersruimte"/>
    <s v="Gietvloer"/>
    <n v="9.8000000000000007"/>
    <s v="nvt"/>
  </r>
  <r>
    <x v="1"/>
    <n v="0"/>
    <s v="B51"/>
    <s v="Kantoor repro"/>
    <s v="Bureaukamer"/>
    <s v="Tapijt"/>
    <n v="54.3"/>
    <n v="1104"/>
  </r>
  <r>
    <x v="1"/>
    <n v="0"/>
    <s v="B52A"/>
    <s v="Gang"/>
    <s v="Verkeersruimte"/>
    <s v="Hout"/>
    <n v="13.6"/>
    <n v="3255"/>
  </r>
  <r>
    <x v="1"/>
    <n v="0"/>
    <s v="B54"/>
    <s v="Vergaderruimte"/>
    <s v="Bureaukamer"/>
    <s v="Tapijt"/>
    <n v="23.4"/>
    <n v="15255"/>
  </r>
  <r>
    <x v="1"/>
    <n v="0"/>
    <s v="B56"/>
    <s v="Werkcafe"/>
    <s v="Verkeersruimte"/>
    <s v="Hout"/>
    <n v="200"/>
    <n v="18510"/>
  </r>
  <r>
    <x v="1"/>
    <n v="0"/>
    <s v="B62"/>
    <s v="Trouwzaal"/>
    <s v="Verkeersruimte"/>
    <s v="Parket"/>
    <n v="80"/>
    <n v="18255"/>
  </r>
  <r>
    <x v="1"/>
    <n v="0"/>
    <s v="B67"/>
    <s v="MIVA Sanitair"/>
    <s v="Sanitaire ruimte"/>
    <s v="Gietvloer"/>
    <n v="4.4000000000000004"/>
    <n v="2510"/>
  </r>
  <r>
    <x v="1"/>
    <n v="0"/>
    <s v="B69B"/>
    <s v="Toilet"/>
    <s v="Sanitaire ruimte"/>
    <s v="Gietvloer"/>
    <n v="10.4"/>
    <n v="2510"/>
  </r>
  <r>
    <x v="1"/>
    <n v="0"/>
    <s v="B70A"/>
    <s v="Vergaderruimte"/>
    <s v="Bureaukamer"/>
    <s v="Tapijt"/>
    <n v="11"/>
    <n v="15255"/>
  </r>
  <r>
    <x v="1"/>
    <n v="0"/>
    <s v="B70B"/>
    <s v="Vergaderruimte"/>
    <s v="Bureaukamer"/>
    <s v="Tapijt"/>
    <n v="12"/>
    <n v="15255"/>
  </r>
  <r>
    <x v="1"/>
    <n v="0"/>
    <s v="B71A"/>
    <s v="Kantoor"/>
    <s v="Bureaukamer"/>
    <s v="Tapijt"/>
    <n v="8.6"/>
    <n v="1104"/>
  </r>
  <r>
    <x v="1"/>
    <n v="0"/>
    <s v="B71B"/>
    <s v="Kantoor"/>
    <s v="Bureaukamer"/>
    <s v="Tapijt"/>
    <n v="3.6"/>
    <n v="1104"/>
  </r>
  <r>
    <x v="1"/>
    <n v="0"/>
    <s v="B71C"/>
    <s v="Kantoor"/>
    <s v="Bureaukamer"/>
    <s v="Tapijt"/>
    <n v="4.7"/>
    <n v="1104"/>
  </r>
  <r>
    <x v="1"/>
    <n v="0"/>
    <s v="B72"/>
    <s v="Pantry"/>
    <s v="Verkeersruimte"/>
    <s v="2Tec2"/>
    <n v="42.2"/>
    <n v="6255"/>
  </r>
  <r>
    <x v="1"/>
    <n v="0"/>
    <s v="B73"/>
    <s v="Vergaderruimte"/>
    <s v="Bureaukamer"/>
    <s v="Tapijt"/>
    <n v="20.3"/>
    <n v="15255"/>
  </r>
  <r>
    <x v="1"/>
    <n v="0"/>
    <s v="B74"/>
    <s v="Kantoor"/>
    <s v="Bureaukamer"/>
    <s v="Tapijt"/>
    <n v="9.1"/>
    <n v="1104"/>
  </r>
  <r>
    <x v="1"/>
    <n v="0"/>
    <s v="B75"/>
    <s v="Kantoor"/>
    <s v="Bureaukamer"/>
    <s v="Tapijt"/>
    <n v="9.1999999999999993"/>
    <n v="1104"/>
  </r>
  <r>
    <x v="1"/>
    <n v="0"/>
    <s v="B76"/>
    <s v="Noodtrap"/>
    <s v="Verkeersruimte"/>
    <s v="Hout"/>
    <n v="11.8"/>
    <n v="5052"/>
  </r>
  <r>
    <x v="1"/>
    <n v="0"/>
    <s v="B78"/>
    <s v="Trap"/>
    <s v="Verkeersruimte"/>
    <s v="Hout"/>
    <n v="19"/>
    <n v="5255"/>
  </r>
  <r>
    <x v="1"/>
    <n v="0"/>
    <s v="B79A"/>
    <s v="Gang"/>
    <s v="Verkeersruimte"/>
    <s v="Steen"/>
    <n v="28.8"/>
    <n v="3510"/>
  </r>
  <r>
    <x v="1"/>
    <n v="0"/>
    <s v="B80"/>
    <s v="Hal"/>
    <s v="Verkeersruimte"/>
    <s v="Tapijt"/>
    <n v="14.3"/>
    <n v="18255"/>
  </r>
  <r>
    <x v="1"/>
    <n v="0"/>
    <s v="B81"/>
    <s v="EHBO/Kolf/Stilte"/>
    <s v="Verkeersruimte"/>
    <s v="Tapijt"/>
    <n v="7.1"/>
    <n v="1104"/>
  </r>
  <r>
    <x v="1"/>
    <n v="0"/>
    <s v="B82"/>
    <s v="Kantoortuin"/>
    <s v="Bureaukamer"/>
    <s v="Tapijt"/>
    <n v="294"/>
    <n v="1104"/>
  </r>
  <r>
    <x v="1"/>
    <n v="0"/>
    <s v="B83"/>
    <s v="Ontmoetingsplek"/>
    <s v="Verkeersruimte"/>
    <s v="Tapijt"/>
    <n v="18.899999999999999"/>
    <n v="3104"/>
  </r>
  <r>
    <x v="1"/>
    <n v="0"/>
    <s v="B84A"/>
    <s v="Belcel"/>
    <s v="Bureaukamer"/>
    <s v="Tapijt"/>
    <n v="1.9"/>
    <n v="1104"/>
  </r>
  <r>
    <x v="1"/>
    <n v="0"/>
    <s v="B84B"/>
    <s v="Belcel"/>
    <s v="Bureaukamer"/>
    <s v="Tapijt"/>
    <n v="1.9"/>
    <n v="1104"/>
  </r>
  <r>
    <x v="1"/>
    <n v="0"/>
    <s v="B85"/>
    <s v="Belcel"/>
    <s v="Bureaukamer"/>
    <s v="Tapijt"/>
    <n v="3.5"/>
    <n v="1104"/>
  </r>
  <r>
    <x v="1"/>
    <n v="0"/>
    <s v="B86"/>
    <s v="Kantoor"/>
    <s v="Bureaukamer"/>
    <s v="Tapijt"/>
    <n v="5.7"/>
    <n v="1104"/>
  </r>
  <r>
    <x v="1"/>
    <n v="0"/>
    <s v="B88"/>
    <s v="Vergaderruimte"/>
    <s v="Bureaukamer"/>
    <s v="Tapijt"/>
    <n v="72.5"/>
    <n v="15255"/>
  </r>
  <r>
    <x v="1"/>
    <n v="0"/>
    <s v="B89"/>
    <s v="Kantoor"/>
    <s v="Bureaukamer"/>
    <s v="Tapijt"/>
    <n v="14"/>
    <n v="1104"/>
  </r>
  <r>
    <x v="1"/>
    <n v="0"/>
    <s v="B90"/>
    <s v="Kantoor"/>
    <s v="Bureaukamer"/>
    <s v="Tapijt"/>
    <n v="8.1999999999999993"/>
    <n v="1104"/>
  </r>
  <r>
    <x v="1"/>
    <n v="0"/>
    <s v="B91"/>
    <s v="Kantoor"/>
    <s v="Bureaukamer"/>
    <s v="Tapijt"/>
    <n v="8.3000000000000007"/>
    <n v="1104"/>
  </r>
  <r>
    <x v="1"/>
    <n v="0"/>
    <s v="B92"/>
    <s v="Kantoor"/>
    <s v="Bureaukamer"/>
    <s v="Tapijt"/>
    <n v="9.5"/>
    <n v="1104"/>
  </r>
  <r>
    <x v="1"/>
    <n v="0"/>
    <s v="B93"/>
    <s v="Kantoor"/>
    <s v="Bureaukamer"/>
    <s v="Tapijt"/>
    <n v="8.4"/>
    <n v="1104"/>
  </r>
  <r>
    <x v="1"/>
    <n v="0"/>
    <s v="B94"/>
    <s v="Kantoor"/>
    <s v="Bureaukamer"/>
    <s v="Tapijt"/>
    <n v="9.9"/>
    <n v="1104"/>
  </r>
  <r>
    <x v="1"/>
    <n v="0"/>
    <s v="B95"/>
    <s v="Kantoor"/>
    <s v="Bureaukamer"/>
    <s v="Tapijt"/>
    <n v="11.8"/>
    <n v="1104"/>
  </r>
  <r>
    <x v="1"/>
    <n v="0"/>
    <s v="L1"/>
    <s v="Lift"/>
    <s v="Verkeersruimte"/>
    <s v="PVC"/>
    <n v="1.6"/>
    <n v="4255"/>
  </r>
  <r>
    <x v="1"/>
    <n v="0"/>
    <s v="L2"/>
    <s v="Lift"/>
    <s v="Verkeersruimte"/>
    <s v="PVC"/>
    <n v="1.6"/>
    <n v="4255"/>
  </r>
  <r>
    <x v="1"/>
    <n v="0"/>
    <n v="100"/>
    <s v="Entree"/>
    <s v="Verkeersruimte"/>
    <s v="Schoonloopmat"/>
    <n v="16.600000000000001"/>
    <n v="8510"/>
  </r>
  <r>
    <x v="1"/>
    <n v="0"/>
    <n v="101"/>
    <s v="Receptie"/>
    <s v="Bureaukamer"/>
    <s v="Tapijt"/>
    <n v="9"/>
    <n v="1510"/>
  </r>
  <r>
    <x v="1"/>
    <n v="0"/>
    <n v="102"/>
    <s v="Hal"/>
    <s v="Verkeersruimte"/>
    <s v="Steen"/>
    <n v="167"/>
    <n v="3510"/>
  </r>
  <r>
    <x v="1"/>
    <n v="0"/>
    <s v="102A"/>
    <s v="Hal verhoogd"/>
    <s v="Verkeersruimte"/>
    <s v="Hout"/>
    <n v="90"/>
    <n v="3510"/>
  </r>
  <r>
    <x v="1"/>
    <n v="0"/>
    <s v="102B"/>
    <s v="Rolstoellift"/>
    <s v="Verkeersruimte"/>
    <s v="Hout"/>
    <n v="1.3"/>
    <n v="3510"/>
  </r>
  <r>
    <x v="1"/>
    <n v="0"/>
    <s v="103B"/>
    <s v="Wenteltrap"/>
    <s v="Verkeersruimte"/>
    <s v="Hout"/>
    <n v="6.1"/>
    <n v="5510"/>
  </r>
  <r>
    <x v="1"/>
    <n v="0"/>
    <n v="103"/>
    <s v="Vergaderruimte"/>
    <s v="Bureaukamer"/>
    <s v="Tapijt"/>
    <n v="12.1"/>
    <n v="15510"/>
  </r>
  <r>
    <x v="1"/>
    <n v="0"/>
    <n v="104"/>
    <s v="Vergaderruimte"/>
    <s v="Bureaukamer"/>
    <s v="Tapijt"/>
    <n v="12.1"/>
    <n v="15510"/>
  </r>
  <r>
    <x v="1"/>
    <n v="0"/>
    <n v="105"/>
    <s v="Vergaderruimte"/>
    <s v="Bureaukamer"/>
    <s v="Tapijt"/>
    <n v="12.1"/>
    <n v="15510"/>
  </r>
  <r>
    <x v="1"/>
    <n v="0"/>
    <n v="106"/>
    <s v="Vergaderruimte"/>
    <s v="Bureaukamer"/>
    <s v="Tapijt"/>
    <n v="16.7"/>
    <n v="15510"/>
  </r>
  <r>
    <x v="1"/>
    <n v="1"/>
    <n v="101"/>
    <s v="Kantoor"/>
    <s v="Bureaukamer"/>
    <s v="Tapijt"/>
    <n v="28.5"/>
    <n v="1104"/>
  </r>
  <r>
    <x v="1"/>
    <n v="1"/>
    <n v="102"/>
    <s v="Kantoor"/>
    <s v="Bureaukamer"/>
    <s v="Tapijt"/>
    <n v="28"/>
    <n v="1104"/>
  </r>
  <r>
    <x v="1"/>
    <n v="1"/>
    <n v="113"/>
    <s v="Repro ruimte"/>
    <s v="Verkeersruimte"/>
    <s v="Tapijt"/>
    <n v="7.4"/>
    <n v="3255"/>
  </r>
  <r>
    <x v="1"/>
    <n v="1"/>
    <n v="103"/>
    <s v="Kantoor"/>
    <s v="Bureaukamer"/>
    <s v="Tapijt"/>
    <n v="31.1"/>
    <n v="1104"/>
  </r>
  <r>
    <x v="1"/>
    <n v="1"/>
    <n v="104"/>
    <s v="Kantoor"/>
    <s v="Bureaukamer"/>
    <s v="Tapijt"/>
    <n v="24.5"/>
    <n v="1104"/>
  </r>
  <r>
    <x v="1"/>
    <n v="1"/>
    <n v="105"/>
    <s v="Kantoor"/>
    <s v="Bureaukamer"/>
    <s v="Tapijt"/>
    <n v="23.8"/>
    <n v="1104"/>
  </r>
  <r>
    <x v="1"/>
    <n v="1"/>
    <n v="106"/>
    <s v="Kantoor"/>
    <s v="Bureaukamer"/>
    <s v="Tapijt"/>
    <n v="24.5"/>
    <n v="1104"/>
  </r>
  <r>
    <x v="1"/>
    <n v="1"/>
    <n v="107"/>
    <s v="Kantoor"/>
    <s v="Bureaukamer"/>
    <s v="Tapijt"/>
    <n v="34.700000000000003"/>
    <n v="1104"/>
  </r>
  <r>
    <x v="1"/>
    <n v="1"/>
    <n v="108"/>
    <s v="Kantoor"/>
    <s v="Bureaukamer"/>
    <s v="Tapijt"/>
    <n v="24.6"/>
    <n v="1104"/>
  </r>
  <r>
    <x v="1"/>
    <n v="1"/>
    <n v="109"/>
    <s v="Kantoor"/>
    <s v="Bureaukamer"/>
    <s v="Tapijt"/>
    <n v="26.6"/>
    <n v="1104"/>
  </r>
  <r>
    <x v="1"/>
    <n v="1"/>
    <n v="119"/>
    <s v="Kantoor"/>
    <s v="Bureaukamer"/>
    <s v="Tapijt"/>
    <n v="20.3"/>
    <n v="1104"/>
  </r>
  <r>
    <x v="1"/>
    <n v="1"/>
    <n v="162"/>
    <s v="Vergaderruimte"/>
    <s v="Bureaukamer"/>
    <s v="Tapijt"/>
    <n v="60.5"/>
    <n v="15255"/>
  </r>
  <r>
    <x v="1"/>
    <n v="1"/>
    <s v="162A"/>
    <s v="Pantry"/>
    <s v="Verkeersruimte"/>
    <s v="PVC"/>
    <n v="4.5"/>
    <n v="6255"/>
  </r>
  <r>
    <x v="1"/>
    <n v="1"/>
    <n v="154"/>
    <s v="Vergaderruimte"/>
    <s v="Bureaukamer"/>
    <s v="Tapijt"/>
    <n v="20.6"/>
    <n v="15255"/>
  </r>
  <r>
    <x v="1"/>
    <n v="1"/>
    <n v="188"/>
    <s v="Vergaderruimte"/>
    <s v="Bureaukamer"/>
    <s v="Tapijt"/>
    <n v="47.1"/>
    <n v="15255"/>
  </r>
  <r>
    <x v="1"/>
    <n v="1"/>
    <n v="132"/>
    <s v="Vergaderruimte"/>
    <s v="Bureaukamer"/>
    <s v="Tapijt"/>
    <n v="29"/>
    <n v="15255"/>
  </r>
  <r>
    <x v="1"/>
    <n v="1"/>
    <n v="133"/>
    <s v="Vergaderruimte"/>
    <s v="Bureaukamer"/>
    <s v="Tapijt"/>
    <n v="32.4"/>
    <n v="15255"/>
  </r>
  <r>
    <x v="1"/>
    <n v="1"/>
    <n v="136"/>
    <s v="Raadzaal"/>
    <s v="Bureaukamer"/>
    <s v="Tapijt"/>
    <n v="193.7"/>
    <n v="1255"/>
  </r>
  <r>
    <x v="1"/>
    <n v="1"/>
    <n v="139"/>
    <s v="Lounge"/>
    <s v="Verkeersruimte"/>
    <s v="Tapijt"/>
    <n v="100"/>
    <n v="3255"/>
  </r>
  <r>
    <x v="1"/>
    <n v="1"/>
    <s v="179A"/>
    <s v="Gang"/>
    <s v="Verkeersruimte"/>
    <s v="PVC"/>
    <n v="34.9"/>
    <n v="3255"/>
  </r>
  <r>
    <x v="1"/>
    <n v="1"/>
    <n v="170"/>
    <s v="Bode ruimte"/>
    <s v="Verkeersruimte"/>
    <s v="Gietvloer"/>
    <n v="20.7"/>
    <n v="6255"/>
  </r>
  <r>
    <x v="1"/>
    <n v="1"/>
    <n v="189"/>
    <s v="Vergaderruimte"/>
    <s v="Bureaukamer"/>
    <s v="Tapijt"/>
    <n v="39.700000000000003"/>
    <n v="15255"/>
  </r>
  <r>
    <x v="1"/>
    <n v="1"/>
    <n v="180"/>
    <s v="Kantoortuin"/>
    <s v="Bureaukamer"/>
    <s v="Tapijt"/>
    <n v="362"/>
    <n v="1104"/>
  </r>
  <r>
    <x v="1"/>
    <n v="1"/>
    <n v="171"/>
    <s v="Servicedesk"/>
    <s v="Bureaukamer"/>
    <s v="Tapijt"/>
    <n v="14.1"/>
    <n v="1104"/>
  </r>
  <r>
    <x v="1"/>
    <n v="1"/>
    <n v="172"/>
    <s v="Kantoor"/>
    <s v="Bureaukamer"/>
    <s v="Tapijt"/>
    <n v="8.6"/>
    <n v="1104"/>
  </r>
  <r>
    <x v="1"/>
    <n v="1"/>
    <n v="173"/>
    <s v="Kantoor"/>
    <s v="Bureaukamer"/>
    <s v="Tapijt"/>
    <n v="8.1999999999999993"/>
    <n v="1104"/>
  </r>
  <r>
    <x v="1"/>
    <n v="1"/>
    <n v="174"/>
    <s v="Ontmoetingsplek"/>
    <s v="Verkeersruimte"/>
    <s v="2Tec2"/>
    <n v="42.2"/>
    <n v="6255"/>
  </r>
  <r>
    <x v="1"/>
    <n v="1"/>
    <n v="175"/>
    <s v="Vergaderruimte"/>
    <s v="Bureaukamer"/>
    <s v="Tapijt"/>
    <n v="20.2"/>
    <n v="15255"/>
  </r>
  <r>
    <x v="1"/>
    <n v="1"/>
    <n v="182"/>
    <s v="Trap"/>
    <s v="Verkeersruimte"/>
    <s v="Tapijt"/>
    <n v="18"/>
    <n v="5255"/>
  </r>
  <r>
    <x v="1"/>
    <n v="1"/>
    <n v="181"/>
    <s v="Kantoor"/>
    <s v="Bureaukamer"/>
    <s v="Tapijt"/>
    <n v="3.5"/>
    <n v="1104"/>
  </r>
  <r>
    <x v="1"/>
    <n v="1"/>
    <n v="183"/>
    <s v="Kantoor"/>
    <s v="Bureaukamer"/>
    <s v="Tapijt"/>
    <n v="3.4"/>
    <n v="1104"/>
  </r>
  <r>
    <x v="1"/>
    <n v="1"/>
    <n v="184"/>
    <s v="Kantoor"/>
    <s v="Bureaukamer"/>
    <s v="Tapijt"/>
    <n v="3.6"/>
    <n v="1104"/>
  </r>
  <r>
    <x v="1"/>
    <n v="1"/>
    <n v="185"/>
    <s v="Kantoor"/>
    <s v="Bureaukamer"/>
    <s v="Tapijt"/>
    <n v="5.7"/>
    <n v="1104"/>
  </r>
  <r>
    <x v="1"/>
    <n v="1"/>
    <n v="190"/>
    <s v="Kantoor"/>
    <s v="Bureaukamer"/>
    <s v="Tapijt"/>
    <n v="11.8"/>
    <n v="1104"/>
  </r>
  <r>
    <x v="1"/>
    <n v="1"/>
    <n v="191"/>
    <s v="Kantoor"/>
    <s v="Bureaukamer"/>
    <s v="Tapijt"/>
    <n v="6.2"/>
    <n v="1104"/>
  </r>
  <r>
    <x v="1"/>
    <n v="1"/>
    <n v="192"/>
    <s v="Kantoor"/>
    <s v="Bureaukamer"/>
    <s v="Tapijt"/>
    <n v="6.6"/>
    <n v="1104"/>
  </r>
  <r>
    <x v="1"/>
    <n v="1"/>
    <n v="161"/>
    <s v="Kantoor"/>
    <s v="Bureaukamer"/>
    <s v="PVC"/>
    <n v="19.899999999999999"/>
    <n v="1104"/>
  </r>
  <r>
    <x v="1"/>
    <n v="1"/>
    <s v="161A"/>
    <s v="Gang"/>
    <s v="Verkeersruimte"/>
    <s v="Linoleum"/>
    <n v="8.4"/>
    <n v="3255"/>
  </r>
  <r>
    <x v="1"/>
    <n v="1"/>
    <n v="151"/>
    <s v="Kantoor"/>
    <s v="Bureaukamer"/>
    <s v="Hout"/>
    <n v="16.7"/>
    <n v="1104"/>
  </r>
  <r>
    <x v="1"/>
    <n v="1"/>
    <n v="141"/>
    <s v="Kantoor"/>
    <s v="Bureaukamer"/>
    <s v="Hout"/>
    <n v="17.5"/>
    <n v="1104"/>
  </r>
  <r>
    <x v="1"/>
    <n v="1"/>
    <n v="115"/>
    <s v="Gang"/>
    <s v="Verkeersruimte"/>
    <s v="Tapijt"/>
    <n v="167.9"/>
    <n v="3255"/>
  </r>
  <r>
    <x v="1"/>
    <n v="1"/>
    <s v="115A"/>
    <s v="Overloop"/>
    <s v="Verkeersruimte"/>
    <s v="Hout"/>
    <n v="10"/>
    <n v="3255"/>
  </r>
  <r>
    <x v="1"/>
    <n v="1"/>
    <n v="160"/>
    <s v="Kleedruimte BAB"/>
    <s v="Verkeersruimte"/>
    <s v="Tapijt"/>
    <n v="9.1999999999999993"/>
    <n v="11255"/>
  </r>
  <r>
    <x v="1"/>
    <n v="1"/>
    <s v="160A"/>
    <s v="Toilet"/>
    <s v="Sanitaire ruimte"/>
    <s v="PVC"/>
    <n v="2.23"/>
    <n v="2255"/>
  </r>
  <r>
    <x v="1"/>
    <n v="1"/>
    <n v="131"/>
    <s v="Toilet"/>
    <s v="Sanitaire ruimte"/>
    <s v="PVC"/>
    <n v="3"/>
    <n v="2255"/>
  </r>
  <r>
    <x v="1"/>
    <n v="1"/>
    <n v="141"/>
    <s v="Gang"/>
    <s v="Verkeersruimte"/>
    <s v="PVC"/>
    <n v="9.6"/>
    <n v="3255"/>
  </r>
  <r>
    <x v="1"/>
    <n v="1"/>
    <n v="176"/>
    <s v="Trap"/>
    <s v="Verkeersruimte"/>
    <s v="Hout"/>
    <n v="11.8"/>
    <n v="5052"/>
  </r>
  <r>
    <x v="1"/>
    <n v="1"/>
    <n v="143"/>
    <s v="Gang/trap"/>
    <s v="Verkeersruimte"/>
    <s v="Tapijt"/>
    <n v="47"/>
    <n v="3255"/>
  </r>
  <r>
    <x v="1"/>
    <n v="1"/>
    <s v="135A"/>
    <s v="Toilet"/>
    <s v="Sanitaire ruimte"/>
    <s v="Gietvloer"/>
    <n v="6.3"/>
    <n v="2255"/>
  </r>
  <r>
    <x v="1"/>
    <n v="1"/>
    <s v="135B"/>
    <s v="Toilet"/>
    <s v="Sanitaire ruimte"/>
    <s v="Gietvloer"/>
    <n v="6.3"/>
    <n v="2255"/>
  </r>
  <r>
    <x v="1"/>
    <n v="1"/>
    <s v="135C"/>
    <s v="MIVA Sanitair"/>
    <s v="Sanitaire ruimte"/>
    <s v="Gietvloer"/>
    <n v="5.0999999999999996"/>
    <n v="2255"/>
  </r>
  <r>
    <x v="1"/>
    <n v="1"/>
    <n v="178"/>
    <s v="Trap"/>
    <s v="Verkeersruimte"/>
    <s v="Hout"/>
    <n v="8.1999999999999993"/>
    <n v="5255"/>
  </r>
  <r>
    <x v="1"/>
    <n v="1"/>
    <n v="111"/>
    <s v="Trap"/>
    <s v="Verkeersruimte"/>
    <s v="Hout"/>
    <n v="11.1"/>
    <n v="5052"/>
  </r>
  <r>
    <x v="1"/>
    <n v="1"/>
    <s v="169A"/>
    <s v="MIVA Sanitair"/>
    <s v="Sanitaire ruimte"/>
    <s v="Gietvloer"/>
    <n v="3.7"/>
    <n v="2255"/>
  </r>
  <r>
    <x v="1"/>
    <n v="1"/>
    <s v="169B"/>
    <s v="Toilet"/>
    <s v="Sanitaire ruimte"/>
    <s v="Gietvloer"/>
    <n v="10.4"/>
    <n v="2255"/>
  </r>
  <r>
    <x v="1"/>
    <n v="1"/>
    <s v="115A"/>
    <s v="Trap"/>
    <s v="Verkeersruimte"/>
    <s v="Hout"/>
    <n v="12"/>
    <n v="5255"/>
  </r>
  <r>
    <x v="1"/>
    <n v="1"/>
    <n v="1100"/>
    <s v="Lounge"/>
    <s v="Verkeersruimte"/>
    <s v="Tapijt"/>
    <n v="72.5"/>
    <n v="3255"/>
  </r>
  <r>
    <x v="1"/>
    <n v="1"/>
    <s v="1101A"/>
    <s v="Kantoor"/>
    <s v="Bureaukamer"/>
    <s v="Tapijt"/>
    <n v="7"/>
    <n v="1104"/>
  </r>
  <r>
    <x v="1"/>
    <n v="1"/>
    <s v="1101B"/>
    <s v="Kantoor"/>
    <s v="Bureaukamer"/>
    <s v="Tapijt"/>
    <n v="7"/>
    <n v="1104"/>
  </r>
  <r>
    <x v="1"/>
    <n v="1"/>
    <s v="1101C"/>
    <s v="Kantoor"/>
    <s v="Bureaukamer"/>
    <s v="Tapijt"/>
    <n v="7"/>
    <n v="1104"/>
  </r>
  <r>
    <x v="1"/>
    <n v="1"/>
    <n v="1102"/>
    <s v="Kantoor"/>
    <s v="Bureaukamer"/>
    <s v="Tapijt"/>
    <n v="9.5"/>
    <n v="1104"/>
  </r>
  <r>
    <x v="1"/>
    <n v="1"/>
    <n v="1103"/>
    <s v="Kantoor"/>
    <s v="Bureaukamer"/>
    <s v="Tapijt"/>
    <n v="11.2"/>
    <n v="1104"/>
  </r>
  <r>
    <x v="1"/>
    <n v="1"/>
    <n v="1104"/>
    <s v="Kantoor"/>
    <s v="Bureaukamer"/>
    <s v="Tapijt"/>
    <n v="20.3"/>
    <n v="1104"/>
  </r>
  <r>
    <x v="1"/>
    <n v="1"/>
    <n v="1105"/>
    <s v="Repro ruimte"/>
    <s v="Verkeersruimte"/>
    <s v="Tapijt"/>
    <n v="4.5999999999999996"/>
    <n v="3104"/>
  </r>
  <r>
    <x v="1"/>
    <n v="1"/>
    <n v="1106"/>
    <s v="Kantoor"/>
    <s v="Bureaukamer"/>
    <s v="Tapijt"/>
    <n v="4"/>
    <n v="1104"/>
  </r>
  <r>
    <x v="1"/>
    <n v="1"/>
    <n v="1107"/>
    <s v="Kantoor"/>
    <s v="Bureaukamer"/>
    <s v="Tapijt"/>
    <n v="3.4"/>
    <n v="1104"/>
  </r>
  <r>
    <x v="1"/>
    <n v="1"/>
    <n v="1108"/>
    <s v="Kantoor"/>
    <s v="Bureaukamer"/>
    <s v="Tapijt"/>
    <n v="3.4"/>
    <n v="1104"/>
  </r>
  <r>
    <x v="1"/>
    <n v="1"/>
    <n v="1109"/>
    <s v="Kantoor"/>
    <s v="Bureaukamer"/>
    <s v="Tapijt"/>
    <n v="7.2"/>
    <n v="1104"/>
  </r>
  <r>
    <x v="1"/>
    <n v="1"/>
    <n v="1110"/>
    <s v="Kantoor"/>
    <s v="Bureaukamer"/>
    <s v="Tapijt"/>
    <n v="7.2"/>
    <n v="1104"/>
  </r>
  <r>
    <x v="1"/>
    <n v="1"/>
    <n v="1111"/>
    <s v="Kantoortuin"/>
    <s v="Bureaukamer"/>
    <s v="Tapijt"/>
    <n v="105"/>
    <n v="1104"/>
  </r>
  <r>
    <x v="1"/>
    <n v="2"/>
    <n v="201"/>
    <s v="Kantoor"/>
    <s v="Bureaukamer"/>
    <s v="Tapijt"/>
    <n v="108.2"/>
    <n v="1104"/>
  </r>
  <r>
    <x v="1"/>
    <n v="2"/>
    <n v="203"/>
    <s v="Kantoor"/>
    <s v="Bureaukamer"/>
    <s v="Tapijt"/>
    <n v="43.5"/>
    <n v="1104"/>
  </r>
  <r>
    <x v="1"/>
    <n v="2"/>
    <n v="205"/>
    <s v="Kantoor"/>
    <s v="Bureaukamer"/>
    <s v="Tapijt"/>
    <n v="12.7"/>
    <n v="1104"/>
  </r>
  <r>
    <x v="1"/>
    <n v="2"/>
    <n v="207"/>
    <s v="Kantoor"/>
    <s v="Bureaukamer"/>
    <s v="Tapijt"/>
    <n v="79.099999999999994"/>
    <n v="1104"/>
  </r>
  <r>
    <x v="1"/>
    <n v="2"/>
    <n v="219"/>
    <s v="Kantoor"/>
    <s v="Bureaukamer"/>
    <s v="Tapijt"/>
    <n v="14.7"/>
    <n v="1104"/>
  </r>
  <r>
    <x v="1"/>
    <n v="2"/>
    <n v="230"/>
    <s v="Gang"/>
    <s v="Verkeersruimte"/>
    <s v="Tapijt"/>
    <n v="43.3"/>
    <n v="1104"/>
  </r>
  <r>
    <x v="1"/>
    <n v="2"/>
    <n v="239"/>
    <s v="Kantoor"/>
    <s v="Bureaukamer"/>
    <s v="Tapijt"/>
    <n v="18.8"/>
    <n v="1104"/>
  </r>
  <r>
    <x v="1"/>
    <n v="2"/>
    <n v="249"/>
    <s v="Kantoor"/>
    <s v="Bureaukamer"/>
    <s v="Tapijt"/>
    <n v="18.8"/>
    <n v="1104"/>
  </r>
  <r>
    <x v="1"/>
    <n v="2"/>
    <n v="259"/>
    <s v="Kantoor"/>
    <s v="Bureaukamer"/>
    <s v="Tapijt"/>
    <n v="14.4"/>
    <n v="1104"/>
  </r>
  <r>
    <x v="1"/>
    <n v="2"/>
    <s v="279A"/>
    <s v="Gang"/>
    <s v="Verkeersruimte"/>
    <s v="PVC"/>
    <n v="21"/>
    <n v="3255"/>
  </r>
  <r>
    <x v="1"/>
    <n v="2"/>
    <n v="281"/>
    <s v="Kantoor"/>
    <s v="Bureaukamer"/>
    <s v="Tapijt"/>
    <n v="9.3000000000000007"/>
    <n v="1104"/>
  </r>
  <r>
    <x v="1"/>
    <n v="2"/>
    <n v="282"/>
    <s v="Kantoor"/>
    <s v="Bureaukamer"/>
    <s v="Tapijt"/>
    <n v="9.3000000000000007"/>
    <n v="1104"/>
  </r>
  <r>
    <x v="1"/>
    <n v="2"/>
    <n v="283"/>
    <s v="Kantoor"/>
    <s v="Bureaukamer"/>
    <s v="Tapijt"/>
    <n v="3.5"/>
    <n v="1104"/>
  </r>
  <r>
    <x v="1"/>
    <n v="2"/>
    <n v="284"/>
    <s v="Kantoor"/>
    <s v="Bureaukamer"/>
    <s v="Tapijt"/>
    <n v="3.5"/>
    <n v="1104"/>
  </r>
  <r>
    <x v="1"/>
    <n v="2"/>
    <n v="270"/>
    <s v="Kantoor"/>
    <s v="Bureaukamer"/>
    <s v="Tapijt"/>
    <n v="11.1"/>
    <n v="1104"/>
  </r>
  <r>
    <x v="1"/>
    <n v="2"/>
    <s v="271A"/>
    <s v="Belcel"/>
    <s v="Bureaukamer"/>
    <s v="Tapijt"/>
    <n v="2.1"/>
    <n v="1104"/>
  </r>
  <r>
    <x v="1"/>
    <n v="2"/>
    <s v="271B"/>
    <s v="Belcel"/>
    <s v="Bureaukamer"/>
    <s v="Tapijt"/>
    <n v="2.1"/>
    <n v="1104"/>
  </r>
  <r>
    <x v="1"/>
    <n v="2"/>
    <s v="271C"/>
    <s v="Belcel"/>
    <s v="Bureaukamer"/>
    <s v="Tapijt"/>
    <n v="2.1"/>
    <n v="1104"/>
  </r>
  <r>
    <x v="1"/>
    <n v="2"/>
    <s v="271D"/>
    <s v="Belcel"/>
    <s v="Bureaukamer"/>
    <s v="Tapijt"/>
    <n v="2.1"/>
    <n v="1104"/>
  </r>
  <r>
    <x v="1"/>
    <n v="2"/>
    <s v="272A"/>
    <s v="Kantoor"/>
    <s v="Bureaukamer"/>
    <s v="Tapijt"/>
    <n v="8.6"/>
    <n v="1104"/>
  </r>
  <r>
    <x v="1"/>
    <n v="2"/>
    <s v="272B"/>
    <s v="Kantoor"/>
    <s v="Bureaukamer"/>
    <s v="Tapijt"/>
    <n v="8.1999999999999993"/>
    <n v="1104"/>
  </r>
  <r>
    <x v="1"/>
    <n v="2"/>
    <n v="273"/>
    <s v="Ontmoetingsplek"/>
    <s v="Verkeersruimte"/>
    <s v="2Tec2"/>
    <n v="42.2"/>
    <n v="6255"/>
  </r>
  <r>
    <x v="1"/>
    <n v="2"/>
    <s v="274A"/>
    <s v="Kantoor"/>
    <s v="Bureaukamer"/>
    <s v="Tapijt"/>
    <n v="9.6"/>
    <n v="1104"/>
  </r>
  <r>
    <x v="1"/>
    <n v="2"/>
    <s v="274B"/>
    <s v="Kantoor"/>
    <s v="Bureaukamer"/>
    <s v="Tapijt"/>
    <n v="10.199999999999999"/>
    <n v="1104"/>
  </r>
  <r>
    <x v="1"/>
    <n v="2"/>
    <s v="275A"/>
    <s v="Kantoor"/>
    <s v="Bureaukamer"/>
    <s v="Tapijt"/>
    <n v="3"/>
    <n v="1104"/>
  </r>
  <r>
    <x v="1"/>
    <n v="2"/>
    <s v="275B"/>
    <s v="Kantoor"/>
    <s v="Bureaukamer"/>
    <s v="Tapijt"/>
    <n v="5.7"/>
    <n v="1104"/>
  </r>
  <r>
    <x v="1"/>
    <n v="2"/>
    <n v="278"/>
    <s v="Trap"/>
    <s v="Verkeersruimte"/>
    <s v="Hout"/>
    <n v="8.1999999999999993"/>
    <n v="5255"/>
  </r>
  <r>
    <x v="1"/>
    <n v="2"/>
    <n v="216"/>
    <s v="Gang"/>
    <s v="Verkeersruimte"/>
    <s v="Linoleum"/>
    <n v="73.8"/>
    <n v="3255"/>
  </r>
  <r>
    <x v="1"/>
    <n v="2"/>
    <n v="276"/>
    <s v="Trap"/>
    <s v="Verkeersruimte"/>
    <s v="Hout"/>
    <n v="3.5"/>
    <n v="5052"/>
  </r>
  <r>
    <x v="1"/>
    <n v="2"/>
    <s v="269B"/>
    <s v="Toilet"/>
    <s v="Sanitaire ruimte"/>
    <s v="Gietvloer"/>
    <n v="15.1"/>
    <n v="2255"/>
  </r>
  <r>
    <x v="1"/>
    <n v="2"/>
    <n v="280"/>
    <s v="Kantoortuin"/>
    <s v="Bureaukamer"/>
    <s v="Tapijt"/>
    <n v="270"/>
    <n v="1104"/>
  </r>
  <r>
    <x v="1"/>
    <n v="2"/>
    <s v="215B"/>
    <s v="Toilet"/>
    <s v="Sanitaire ruimte"/>
    <s v="Gietvloer"/>
    <n v="3.5"/>
    <n v="2255"/>
  </r>
  <r>
    <x v="1"/>
    <n v="2"/>
    <s v="216A"/>
    <s v="Toilet"/>
    <s v="Sanitaire ruimte"/>
    <s v="Gietvloer"/>
    <n v="4.5"/>
    <n v="2255"/>
  </r>
  <r>
    <x v="1"/>
    <n v="2"/>
    <s v="216B"/>
    <s v="Toilet"/>
    <s v="Sanitaire ruimte"/>
    <s v="Gietvloer"/>
    <n v="4.7"/>
    <n v="2255"/>
  </r>
  <r>
    <x v="1"/>
    <n v="2"/>
    <n v="211"/>
    <s v="Trap"/>
    <s v="Verkeersruimte"/>
    <s v="Tapijt"/>
    <n v="4.4000000000000004"/>
    <n v="5052"/>
  </r>
  <r>
    <x v="1"/>
    <n v="2"/>
    <n v="2100"/>
    <s v="Lounge"/>
    <s v="Verkeersruimte"/>
    <s v="Tapijt"/>
    <n v="72.5"/>
    <n v="3255"/>
  </r>
  <r>
    <x v="1"/>
    <n v="2"/>
    <s v="2101A"/>
    <s v="Kantoor"/>
    <s v="Bureaukamer"/>
    <s v="Tapijt"/>
    <n v="7"/>
    <n v="1104"/>
  </r>
  <r>
    <x v="1"/>
    <n v="2"/>
    <s v="2101B"/>
    <s v="Kantoor"/>
    <s v="Bureaukamer"/>
    <s v="Tapijt"/>
    <n v="7"/>
    <n v="1104"/>
  </r>
  <r>
    <x v="1"/>
    <n v="2"/>
    <s v="2101C"/>
    <s v="Kantoor"/>
    <s v="Bureaukamer"/>
    <s v="Tapijt"/>
    <n v="7"/>
    <n v="1104"/>
  </r>
  <r>
    <x v="1"/>
    <n v="2"/>
    <n v="2102"/>
    <s v="Kantoor"/>
    <s v="Bureaukamer"/>
    <s v="Tapijt"/>
    <n v="9.5"/>
    <n v="1104"/>
  </r>
  <r>
    <x v="1"/>
    <n v="2"/>
    <n v="2103"/>
    <s v="Kantoor"/>
    <s v="Bureaukamer"/>
    <s v="Tapijt"/>
    <n v="11.2"/>
    <n v="1104"/>
  </r>
  <r>
    <x v="1"/>
    <n v="2"/>
    <n v="2104"/>
    <s v="Kantoor"/>
    <s v="Bureaukamer"/>
    <s v="Tapijt"/>
    <n v="20.3"/>
    <n v="1104"/>
  </r>
  <r>
    <x v="1"/>
    <n v="2"/>
    <n v="2105"/>
    <s v="Repro ruimte"/>
    <s v="Verkeersruimte"/>
    <s v="Tapijt"/>
    <n v="4.5999999999999996"/>
    <n v="3104"/>
  </r>
  <r>
    <x v="1"/>
    <n v="2"/>
    <n v="2106"/>
    <s v="Kantoor"/>
    <s v="Bureaukamer"/>
    <s v="Tapijt"/>
    <n v="4"/>
    <n v="1104"/>
  </r>
  <r>
    <x v="1"/>
    <n v="2"/>
    <n v="2107"/>
    <s v="Kantoor"/>
    <s v="Bureaukamer"/>
    <s v="Tapijt"/>
    <n v="3.4"/>
    <n v="1104"/>
  </r>
  <r>
    <x v="1"/>
    <n v="2"/>
    <n v="2108"/>
    <s v="Kantoor"/>
    <s v="Bureaukamer"/>
    <s v="Tapijt"/>
    <n v="3.4"/>
    <n v="1104"/>
  </r>
  <r>
    <x v="1"/>
    <n v="2"/>
    <n v="2109"/>
    <s v="Kantoor"/>
    <s v="Bureaukamer"/>
    <s v="Tapijt"/>
    <n v="7.2"/>
    <n v="1104"/>
  </r>
  <r>
    <x v="1"/>
    <n v="2"/>
    <n v="2110"/>
    <s v="Kantoor"/>
    <s v="Bureaukamer"/>
    <s v="Tapijt"/>
    <n v="7.2"/>
    <n v="1104"/>
  </r>
  <r>
    <x v="1"/>
    <n v="1"/>
    <n v="2111"/>
    <s v="Kantoortuin"/>
    <s v="Bureaukamer"/>
    <s v="Tapijt"/>
    <n v="105"/>
    <n v="1104"/>
  </r>
  <r>
    <x v="2"/>
    <n v="0"/>
    <n v="101"/>
    <s v="Hal/pantry"/>
    <s v="Verkeersruimte"/>
    <s v="DHGT"/>
    <n v="12.07"/>
    <n v="3255"/>
  </r>
  <r>
    <x v="2"/>
    <n v="0"/>
    <n v="102"/>
    <s v="Gang"/>
    <s v="Verkeersruimte"/>
    <s v="DHGT"/>
    <n v="4.95"/>
    <n v="3255"/>
  </r>
  <r>
    <x v="2"/>
    <n v="0"/>
    <n v="103"/>
    <s v="Toilet"/>
    <s v="Sanitaire ruimte"/>
    <s v="DHGT"/>
    <n v="2.34"/>
    <n v="2255"/>
  </r>
  <r>
    <x v="2"/>
    <n v="0"/>
    <n v="104"/>
    <s v="Lockerruimte"/>
    <s v="Verkeersruimte"/>
    <s v="DHGT"/>
    <n v="8.5399999999999991"/>
    <n v="3255"/>
  </r>
  <r>
    <x v="2"/>
    <n v="0"/>
    <n v="105"/>
    <s v="Douche"/>
    <s v="Sanitaire ruimte"/>
    <s v="DHGT"/>
    <n v="1.65"/>
    <n v="2255"/>
  </r>
  <r>
    <x v="2"/>
    <n v="0"/>
    <n v="106"/>
    <s v="Vergaderruimte"/>
    <s v="Bureaukamer"/>
    <s v="Tapijt"/>
    <n v="14.3"/>
    <n v="15255"/>
  </r>
  <r>
    <x v="2"/>
    <n v="0"/>
    <n v="107"/>
    <s v="Kantoor"/>
    <s v="Bureaukamer"/>
    <s v="Tapijt"/>
    <n v="29.57"/>
    <n v="1255"/>
  </r>
  <r>
    <x v="2"/>
    <n v="1"/>
    <n v="201"/>
    <s v="Trap"/>
    <s v="Verkeersruimte"/>
    <s v="Hout"/>
    <n v="4"/>
    <n v="5255"/>
  </r>
  <r>
    <x v="2"/>
    <n v="1"/>
    <n v="202"/>
    <s v="Flexplekken BOA"/>
    <s v="Bureaukamer"/>
    <s v="Tapijt"/>
    <n v="28.8"/>
    <n v="1255"/>
  </r>
  <r>
    <x v="2"/>
    <n v="1"/>
    <n v="203"/>
    <s v="Vergaderruimte"/>
    <s v="Bureaukamer"/>
    <s v="Tapijt"/>
    <n v="15.45"/>
    <n v="15255"/>
  </r>
  <r>
    <x v="2"/>
    <n v="1"/>
    <n v="204"/>
    <s v="Vergaderruimte"/>
    <s v="Bureaukamer"/>
    <s v="Tapijt"/>
    <n v="15.7"/>
    <n v="15255"/>
  </r>
  <r>
    <x v="2"/>
    <n v="1"/>
    <n v="205"/>
    <s v="Flexplekken BOA"/>
    <s v="Bureaukamer"/>
    <s v="Tapijt"/>
    <n v="28.8"/>
    <n v="1255"/>
  </r>
  <r>
    <x v="3"/>
    <n v="0"/>
    <n v="1"/>
    <s v="Entree"/>
    <s v="Verkeersruimte"/>
    <s v="Schoonloopmat"/>
    <n v="5.3"/>
    <n v="8255"/>
  </r>
  <r>
    <x v="3"/>
    <n v="0"/>
    <n v="2"/>
    <s v="Gang"/>
    <s v="Verkeersruimte"/>
    <s v="Topshield"/>
    <n v="14.3"/>
    <n v="3255"/>
  </r>
  <r>
    <x v="3"/>
    <n v="0"/>
    <s v="002A"/>
    <s v="Trap"/>
    <s v="Verkeersruimte"/>
    <s v="Hout"/>
    <n v="6.16"/>
    <n v="5255"/>
  </r>
  <r>
    <x v="3"/>
    <n v="0"/>
    <n v="3"/>
    <s v="Entree"/>
    <s v="Verkeersruimte"/>
    <s v="Schoonloopmat"/>
    <n v="10.26"/>
    <n v="8255"/>
  </r>
  <r>
    <x v="3"/>
    <n v="0"/>
    <n v="4"/>
    <s v="Pantry"/>
    <s v="Verkeersruimte"/>
    <s v="Topshield"/>
    <n v="10.8"/>
    <n v="6255"/>
  </r>
  <r>
    <x v="3"/>
    <n v="0"/>
    <n v="5"/>
    <s v="Kantine"/>
    <s v="Verkeersruimte"/>
    <s v="Topshield"/>
    <n v="126.6"/>
    <n v="18255"/>
  </r>
  <r>
    <x v="3"/>
    <n v="0"/>
    <n v="6"/>
    <s v="Gang"/>
    <s v="Verkeersruimte"/>
    <s v="Topshield"/>
    <n v="10.79"/>
    <n v="3255"/>
  </r>
  <r>
    <x v="3"/>
    <n v="0"/>
    <n v="7"/>
    <s v="Kleedruimte"/>
    <s v="Verkeersruimte"/>
    <s v="Gietvloer"/>
    <n v="30.25"/>
    <n v="11255"/>
  </r>
  <r>
    <x v="3"/>
    <n v="0"/>
    <s v="007A"/>
    <s v="Douches"/>
    <s v="Sanitaire ruimte"/>
    <s v="Gietvloer"/>
    <n v="6"/>
    <n v="2255"/>
  </r>
  <r>
    <x v="3"/>
    <n v="0"/>
    <n v="8"/>
    <s v="Sanitair"/>
    <s v="Sanitaire ruimte"/>
    <s v="Gietvloer"/>
    <n v="8.43"/>
    <n v="2255"/>
  </r>
  <r>
    <x v="3"/>
    <n v="0"/>
    <s v="008A"/>
    <s v="Sanitair"/>
    <s v="Sanitaire ruimte"/>
    <s v="Gietvloer"/>
    <n v="1.1599999999999999"/>
    <n v="2255"/>
  </r>
  <r>
    <x v="3"/>
    <n v="0"/>
    <n v="9"/>
    <s v="MIVA Sanitair"/>
    <s v="Sanitaire ruimte"/>
    <s v="Gietvloer"/>
    <n v="3.51"/>
    <n v="2255"/>
  </r>
  <r>
    <x v="3"/>
    <n v="0"/>
    <n v="10"/>
    <s v="Kleedruimte"/>
    <s v="Verkeersruimte"/>
    <s v="Gietvloer"/>
    <n v="5.36"/>
    <n v="11255"/>
  </r>
  <r>
    <x v="3"/>
    <n v="0"/>
    <s v="010A"/>
    <s v="Douches"/>
    <s v="Sanitaire ruimte"/>
    <s v="Gietvloer"/>
    <n v="2.37"/>
    <n v="2255"/>
  </r>
  <r>
    <x v="3"/>
    <n v="0"/>
    <n v="11"/>
    <s v="Kantoor locatiebeheerder"/>
    <s v="Bureaukamer"/>
    <s v="Topshield"/>
    <n v="16.8"/>
    <n v="1104"/>
  </r>
  <r>
    <x v="3"/>
    <n v="1"/>
    <n v="101"/>
    <s v="Overloop"/>
    <s v="Verkeersruimte"/>
    <s v="Topshield"/>
    <n v="4.8"/>
    <n v="3255"/>
  </r>
  <r>
    <x v="3"/>
    <n v="1"/>
    <s v="101A"/>
    <s v="Trap"/>
    <s v="Verkeersruimte"/>
    <s v="Hout"/>
    <n v="6.16"/>
    <n v="5255"/>
  </r>
  <r>
    <x v="3"/>
    <n v="1"/>
    <n v="102"/>
    <s v="Gang"/>
    <s v="Verkeersruimte"/>
    <s v="Topshield"/>
    <n v="22.15"/>
    <n v="3255"/>
  </r>
  <r>
    <x v="3"/>
    <n v="2"/>
    <n v="103"/>
    <s v="Kantoor"/>
    <s v="Bureaukamer"/>
    <s v="Tapijt"/>
    <n v="16.55"/>
    <n v="1104"/>
  </r>
  <r>
    <x v="3"/>
    <n v="1"/>
    <n v="104"/>
    <s v="Kantoor"/>
    <s v="Bureaukamer"/>
    <s v="Tapijt"/>
    <n v="15.97"/>
    <n v="1104"/>
  </r>
  <r>
    <x v="3"/>
    <n v="1"/>
    <n v="105"/>
    <s v="Kantoor"/>
    <s v="Bureaukamer"/>
    <s v="Tapijt"/>
    <n v="15.81"/>
    <n v="1104"/>
  </r>
  <r>
    <x v="3"/>
    <n v="1"/>
    <n v="106"/>
    <s v="Kantoor"/>
    <s v="Bureaukamer"/>
    <s v="Tapijt"/>
    <n v="17.71"/>
    <n v="1104"/>
  </r>
  <r>
    <x v="3"/>
    <n v="1"/>
    <n v="107"/>
    <s v="Gang/repro"/>
    <s v="Verkeersruimte"/>
    <s v="Topshield"/>
    <n v="5.8"/>
    <n v="3255"/>
  </r>
  <r>
    <x v="3"/>
    <n v="1"/>
    <n v="108"/>
    <s v="Sanitair"/>
    <s v="Sanitaire ruimte"/>
    <s v="Gietvloer"/>
    <n v="8.1199999999999992"/>
    <n v="2255"/>
  </r>
  <r>
    <x v="3"/>
    <n v="1"/>
    <n v="109"/>
    <s v="Pantry"/>
    <s v="Verkeersruimte"/>
    <s v="Topshield"/>
    <n v="5.12"/>
    <n v="6255"/>
  </r>
  <r>
    <x v="3"/>
    <n v="2"/>
    <n v="201"/>
    <s v="Overloop"/>
    <s v="Verkeersruimte"/>
    <s v="Topshield"/>
    <n v="2.93"/>
    <n v="3255"/>
  </r>
  <r>
    <x v="3"/>
    <n v="2"/>
    <n v="202"/>
    <s v="Vergaderruimte"/>
    <s v="Bureaukamer"/>
    <s v="Tapijt"/>
    <n v="71.48"/>
    <n v="15104"/>
  </r>
  <r>
    <x v="3"/>
    <n v="0"/>
    <n v="301"/>
    <s v="Kantoor laadperron"/>
    <s v="Bureaukamer"/>
    <s v="PVC"/>
    <n v="15.1"/>
    <n v="1104"/>
  </r>
  <r>
    <x v="3"/>
    <n v="0"/>
    <n v="302"/>
    <s v="Toilet laadperron"/>
    <s v="Sanitaire ruimte"/>
    <s v="PVC"/>
    <n v="1.1599999999999999"/>
    <n v="2255"/>
  </r>
  <r>
    <x v="4"/>
    <n v="0"/>
    <s v="0.01"/>
    <s v="gang"/>
    <s v="Verkeersruimte"/>
    <s v="Gietvloer"/>
    <n v="5.7469999999999999"/>
    <n v="3255"/>
  </r>
  <r>
    <x v="4"/>
    <n v="0"/>
    <s v="0.02"/>
    <s v="keuken/pantry"/>
    <s v="Verkeersruimte"/>
    <s v="Gietvloer"/>
    <n v="5.7469999999999999"/>
    <n v="6255"/>
  </r>
  <r>
    <x v="4"/>
    <n v="0"/>
    <s v="0.03"/>
    <s v="Toilet"/>
    <s v="Sanitaire ruimte"/>
    <s v="Gietvloer"/>
    <n v="1.5"/>
    <n v="2255"/>
  </r>
  <r>
    <x v="5"/>
    <n v="0"/>
    <s v="0.01"/>
    <s v="Entree"/>
    <s v="Verkeersruimte"/>
    <s v="Steen/tapijt"/>
    <n v="18.260000000000002"/>
    <n v="8255"/>
  </r>
  <r>
    <x v="5"/>
    <n v="0"/>
    <s v="0.02"/>
    <s v="kleedruimte 1steen"/>
    <s v="Verkeersruimte"/>
    <s v="Steen"/>
    <n v="34"/>
    <n v="11255"/>
  </r>
  <r>
    <x v="5"/>
    <n v="0"/>
    <s v="0.03"/>
    <s v="Douche"/>
    <s v="Sanitaire ruimte"/>
    <s v="Steen "/>
    <n v="13.02"/>
    <n v="2255"/>
  </r>
  <r>
    <x v="5"/>
    <n v="0"/>
    <s v="0.04"/>
    <s v="toilet"/>
    <s v="Sanitaire ruimte"/>
    <s v="Steen"/>
    <n v="3.8"/>
    <n v="2255"/>
  </r>
  <r>
    <x v="5"/>
    <n v="0"/>
    <s v="0.05"/>
    <s v="kleedruimte 2steen"/>
    <s v="Verkeersruimte"/>
    <s v="Steen"/>
    <n v="34"/>
    <n v="11255"/>
  </r>
  <r>
    <x v="5"/>
    <n v="0"/>
    <s v="0.06"/>
    <s v="Douche"/>
    <s v="Sanitaire ruimte"/>
    <s v="Steen "/>
    <n v="13.02"/>
    <n v="2255"/>
  </r>
  <r>
    <x v="5"/>
    <n v="0"/>
    <s v="0.07"/>
    <s v="toilet"/>
    <s v="Sanitaire ruimte"/>
    <s v="Steen"/>
    <n v="3.8"/>
    <n v="2255"/>
  </r>
  <r>
    <x v="5"/>
    <n v="0"/>
    <s v="0.08"/>
    <s v="docentenruimte"/>
    <s v="Verkeersruimte"/>
    <s v="Steen"/>
    <n v="5.41"/>
    <n v="11255"/>
  </r>
  <r>
    <x v="5"/>
    <n v="0"/>
    <s v="0.09"/>
    <s v="douche/wc"/>
    <s v="Sanitaire ruimte"/>
    <s v="Steen"/>
    <n v="3.88"/>
    <n v="2255"/>
  </r>
  <r>
    <x v="5"/>
    <n v="0"/>
    <s v="0.10"/>
    <s v="Gymzaal"/>
    <s v="Verkeersruimte"/>
    <s v="Pulastic"/>
    <n v="249"/>
    <n v="19255"/>
  </r>
  <r>
    <x v="5"/>
    <n v="0"/>
    <s v="0.11"/>
    <s v="toestelberging"/>
    <s v="Verkeersruimte"/>
    <s v="Pulastic"/>
    <n v="50"/>
    <n v="19255"/>
  </r>
  <r>
    <x v="6"/>
    <n v="0"/>
    <s v="0.01"/>
    <s v="Gang"/>
    <s v="Verkeersruimte"/>
    <s v="Linoleum"/>
    <n v="12.3"/>
    <n v="3205"/>
  </r>
  <r>
    <x v="6"/>
    <n v="0"/>
    <s v="0.02"/>
    <s v="kleedruimte "/>
    <s v="Verkeersruimte"/>
    <s v="Linoleum"/>
    <n v="8.6"/>
    <n v="11205"/>
  </r>
  <r>
    <x v="6"/>
    <n v="0"/>
    <s v="0.03"/>
    <s v="Douche"/>
    <s v="Sanitaire ruimte"/>
    <s v="Steen "/>
    <n v="0"/>
    <n v="2205"/>
  </r>
  <r>
    <x v="6"/>
    <n v="0"/>
    <s v="0.04"/>
    <s v="toilet"/>
    <s v="Sanitaire ruimte"/>
    <s v="Steen"/>
    <n v="0"/>
    <n v="2205"/>
  </r>
  <r>
    <x v="6"/>
    <n v="0"/>
    <s v="0.05"/>
    <s v="kleedruimte "/>
    <s v="Verkeersruimte"/>
    <s v="Linoleum"/>
    <n v="13.42"/>
    <n v="11205"/>
  </r>
  <r>
    <x v="6"/>
    <n v="0"/>
    <s v="0.06"/>
    <s v="Douche"/>
    <s v="Sanitaire ruimte"/>
    <s v="Steen "/>
    <n v="0"/>
    <n v="2205"/>
  </r>
  <r>
    <x v="6"/>
    <n v="0"/>
    <s v="0.07"/>
    <s v="toilet"/>
    <s v="Sanitaire ruimte"/>
    <s v="Steen"/>
    <n v="0"/>
    <n v="2205"/>
  </r>
  <r>
    <x v="6"/>
    <n v="0"/>
    <s v="0.08"/>
    <s v="docentenruimte"/>
    <s v="Verkeersruimte"/>
    <s v="Steen"/>
    <n v="0"/>
    <n v="11205"/>
  </r>
  <r>
    <x v="6"/>
    <n v="0"/>
    <s v="0.09"/>
    <s v="douche/wc"/>
    <s v="Sanitaire ruimte"/>
    <s v="Steen"/>
    <n v="0"/>
    <n v="2205"/>
  </r>
  <r>
    <x v="6"/>
    <n v="0"/>
    <s v="0.10"/>
    <s v="Gymzaal"/>
    <s v="Verkeersruimte"/>
    <s v="Pulastic"/>
    <n v="132.63999999999999"/>
    <n v="19205"/>
  </r>
  <r>
    <x v="6"/>
    <n v="0"/>
    <s v="0.11"/>
    <s v="toestelberging"/>
    <s v="Verkeersruimte"/>
    <s v="Steen"/>
    <n v="21.12"/>
    <n v="19205"/>
  </r>
  <r>
    <x v="7"/>
    <n v="0"/>
    <s v="0.01"/>
    <s v="Entree"/>
    <s v="Verkeersruimte"/>
    <s v="Steen/tapijt"/>
    <n v="18.260000000000002"/>
    <n v="8205"/>
  </r>
  <r>
    <x v="7"/>
    <n v="0"/>
    <s v="0.02"/>
    <s v="kleedruimte 1steen"/>
    <s v="Verkeersruimte"/>
    <m/>
    <n v="26.74"/>
    <n v="11205"/>
  </r>
  <r>
    <x v="7"/>
    <n v="0"/>
    <s v="0.03"/>
    <s v="Douche"/>
    <s v="Sanitaire ruimte"/>
    <s v="Steen "/>
    <n v="13.02"/>
    <n v="2205"/>
  </r>
  <r>
    <x v="7"/>
    <n v="0"/>
    <s v="0.04"/>
    <s v="toilet"/>
    <s v="Sanitaire ruimte"/>
    <s v="Steen"/>
    <n v="3.8"/>
    <n v="2205"/>
  </r>
  <r>
    <x v="7"/>
    <n v="0"/>
    <s v="0.05"/>
    <s v="kleedruimte 2steen"/>
    <s v="Verkeersruimte"/>
    <m/>
    <n v="26.74"/>
    <n v="11205"/>
  </r>
  <r>
    <x v="7"/>
    <n v="0"/>
    <s v="0.06"/>
    <s v="Douche"/>
    <s v="Sanitaire ruimte"/>
    <s v="Steen "/>
    <n v="13.02"/>
    <n v="2205"/>
  </r>
  <r>
    <x v="7"/>
    <n v="0"/>
    <s v="0.07"/>
    <s v="toilet"/>
    <s v="Sanitaire ruimte"/>
    <s v="Steen"/>
    <n v="3.8"/>
    <n v="2205"/>
  </r>
  <r>
    <x v="7"/>
    <n v="0"/>
    <s v="0.08"/>
    <s v="docentenruimte"/>
    <s v="Verkeersruimte"/>
    <s v="Steen"/>
    <n v="5.41"/>
    <n v="11205"/>
  </r>
  <r>
    <x v="7"/>
    <n v="0"/>
    <s v="0.09"/>
    <s v="douche/wc"/>
    <s v="Sanitaire ruimte"/>
    <s v="Steen"/>
    <n v="4"/>
    <n v="2205"/>
  </r>
  <r>
    <x v="7"/>
    <n v="0"/>
    <s v="0.10"/>
    <s v="Gymzaal"/>
    <s v="Verkeersruimte"/>
    <s v="Hout"/>
    <n v="200.23"/>
    <n v="19205"/>
  </r>
  <r>
    <x v="7"/>
    <n v="0"/>
    <s v="0.11"/>
    <s v="toestelberging"/>
    <s v="Verkeersruimte"/>
    <s v="Pulastic"/>
    <n v="38.67"/>
    <n v="19205"/>
  </r>
  <r>
    <x v="8"/>
    <n v="0"/>
    <n v="1"/>
    <s v="Entree"/>
    <s v="Verkeersruimte"/>
    <s v="Tapijt"/>
    <n v="4"/>
    <n v="8255"/>
  </r>
  <r>
    <x v="8"/>
    <n v="0"/>
    <n v="2"/>
    <s v="Gang"/>
    <s v="Verkeersruimte"/>
    <s v="DHGT"/>
    <n v="16.7"/>
    <n v="3255"/>
  </r>
  <r>
    <x v="8"/>
    <n v="0"/>
    <n v="3"/>
    <s v="Kleedruimte"/>
    <s v="Verkeersruimte"/>
    <s v="DHGT"/>
    <n v="14.9"/>
    <n v="11255"/>
  </r>
  <r>
    <x v="8"/>
    <n v="0"/>
    <n v="4"/>
    <s v="Douche"/>
    <s v="Sanitaire ruimte"/>
    <s v="DHGT"/>
    <n v="3.2"/>
    <n v="2255"/>
  </r>
  <r>
    <x v="8"/>
    <n v="0"/>
    <n v="5"/>
    <s v="Toilet"/>
    <s v="Sanitaire ruimte"/>
    <s v="DHGT"/>
    <n v="6.9"/>
    <n v="2255"/>
  </r>
  <r>
    <x v="8"/>
    <n v="0"/>
    <n v="6"/>
    <s v="Toilet"/>
    <s v="Sanitaire ruimte"/>
    <s v="DHGT"/>
    <n v="4.3"/>
    <n v="2255"/>
  </r>
  <r>
    <x v="8"/>
    <n v="0"/>
    <n v="8"/>
    <s v="Technische ruimte"/>
    <s v="Verkeersruimte"/>
    <s v="DHGT"/>
    <n v="3.3"/>
    <s v="nvt"/>
  </r>
  <r>
    <x v="8"/>
    <n v="0"/>
    <n v="9"/>
    <s v="Kantoor"/>
    <s v="Bureaukamer"/>
    <s v="Linoleum"/>
    <n v="25.85"/>
    <n v="1104"/>
  </r>
  <r>
    <x v="8"/>
    <n v="0"/>
    <s v="9a"/>
    <s v="Werkkast"/>
    <s v="Verkeersruimte"/>
    <s v="Beton"/>
    <n v="1.7"/>
    <s v="nvt"/>
  </r>
  <r>
    <x v="8"/>
    <n v="0"/>
    <s v="9b"/>
    <s v="Gang"/>
    <s v="Verkeersruimte"/>
    <s v="Tapijt"/>
    <n v="11.7"/>
    <n v="3255"/>
  </r>
  <r>
    <x v="8"/>
    <n v="0"/>
    <n v="10"/>
    <s v="Kleedruimte"/>
    <s v="Verkeersruimte"/>
    <s v="DHGT"/>
    <n v="22.7"/>
    <n v="11255"/>
  </r>
  <r>
    <x v="8"/>
    <n v="0"/>
    <n v="11"/>
    <s v="Douche"/>
    <s v="Sanitaire ruimte"/>
    <s v="DHGT"/>
    <n v="13.3"/>
    <n v="2255"/>
  </r>
  <r>
    <x v="8"/>
    <n v="0"/>
    <n v="12"/>
    <s v="Douche"/>
    <s v="Sanitaire ruimte"/>
    <s v="DHGT"/>
    <n v="3.6"/>
    <n v="2255"/>
  </r>
  <r>
    <x v="8"/>
    <n v="0"/>
    <n v="13"/>
    <s v="Douche"/>
    <s v="Sanitaire ruimte"/>
    <s v="DHGT"/>
    <n v="2.8"/>
    <n v="2255"/>
  </r>
  <r>
    <x v="8"/>
    <n v="0"/>
    <n v="14"/>
    <s v="Kleedruimte"/>
    <s v="Verkeersruimte"/>
    <s v="DHGT"/>
    <n v="26.2"/>
    <n v="11255"/>
  </r>
  <r>
    <x v="8"/>
    <n v="1"/>
    <n v="15"/>
    <s v="Gang"/>
    <s v="Verkeersruimte"/>
    <s v="DHGT"/>
    <n v="11.1"/>
    <n v="3255"/>
  </r>
  <r>
    <x v="8"/>
    <n v="1"/>
    <s v="15a"/>
    <s v="Kantoor"/>
    <s v="Bureaukamer"/>
    <s v="DHGT"/>
    <n v="7.5"/>
    <n v="1104"/>
  </r>
  <r>
    <x v="8"/>
    <n v="1"/>
    <n v="16"/>
    <s v="Kantoor"/>
    <s v="Bureaukamer"/>
    <s v="Tapijt"/>
    <n v="14.9"/>
    <n v="1104"/>
  </r>
  <r>
    <x v="8"/>
    <n v="1"/>
    <n v="17"/>
    <s v="Vergaderruimte"/>
    <s v="Bureaukamer"/>
    <s v="Linoleum"/>
    <n v="40.799999999999997"/>
    <n v="15104"/>
  </r>
  <r>
    <x v="8"/>
    <n v="1"/>
    <n v="18"/>
    <s v="Kantine"/>
    <s v="Verkeersruimte"/>
    <s v="Linoleum"/>
    <n v="58"/>
    <n v="18255"/>
  </r>
  <r>
    <x v="8"/>
    <n v="1"/>
    <n v="19"/>
    <s v="Keuken"/>
    <s v="Verkeersruimte"/>
    <s v="Linoleum"/>
    <n v="15.7"/>
    <n v="6255"/>
  </r>
  <r>
    <x v="8"/>
    <n v="1"/>
    <n v="20"/>
    <s v="Technische ruimte"/>
    <s v="Verkeersruimte"/>
    <s v="Linoleum"/>
    <n v="8.9"/>
    <s v="nvt"/>
  </r>
  <r>
    <x v="8"/>
    <n v="0"/>
    <n v="21"/>
    <s v="Kantoor"/>
    <s v="Bureaukamer"/>
    <s v="Tapijt"/>
    <n v="20"/>
    <n v="1104"/>
  </r>
  <r>
    <x v="8"/>
    <n v="0"/>
    <n v="28"/>
    <s v="Kantoor"/>
    <s v="Bureaukamer"/>
    <s v="Beton"/>
    <n v="14.1"/>
    <n v="1104"/>
  </r>
  <r>
    <x v="8"/>
    <n v="0"/>
    <n v="29"/>
    <s v="Toilet"/>
    <s v="Sanitaire ruimte"/>
    <s v="DHGT"/>
    <n v="3.8"/>
    <n v="2255"/>
  </r>
  <r>
    <x v="8"/>
    <n v="0"/>
    <n v="21"/>
    <s v="Entree"/>
    <s v="Verkeersruimte"/>
    <s v="Tapijt"/>
    <n v="1.8"/>
    <n v="8255"/>
  </r>
  <r>
    <x v="8"/>
    <n v="0"/>
    <n v="1"/>
    <s v="Kantoor"/>
    <s v="Bureaukamer"/>
    <s v="Linoleum"/>
    <n v="6.9"/>
    <n v="1104"/>
  </r>
  <r>
    <x v="8"/>
    <n v="0"/>
    <n v="1"/>
    <s v="Kantoor"/>
    <s v="Bureaukamer"/>
    <s v="Linoleum"/>
    <n v="20"/>
    <n v="1104"/>
  </r>
  <r>
    <x v="8"/>
    <n v="0"/>
    <n v="1"/>
    <s v="Kantine"/>
    <s v="Verkeersruimte"/>
    <s v="Linoleum"/>
    <n v="8.5"/>
    <n v="18255"/>
  </r>
  <r>
    <x v="8"/>
    <n v="0"/>
    <n v="2"/>
    <s v="Toilet"/>
    <s v="Sanitaire ruimte"/>
    <s v="Linoleum"/>
    <n v="1.9"/>
    <n v="2255"/>
  </r>
  <r>
    <x v="8"/>
    <n v="0"/>
    <n v="3"/>
    <s v="Technische ruimte"/>
    <s v="Verkeersruimte"/>
    <s v="Linoleum"/>
    <n v="4.9000000000000004"/>
    <s v="nvt"/>
  </r>
  <r>
    <x v="8"/>
    <n v="0"/>
    <n v="4"/>
    <s v="Gang"/>
    <s v="Verkeersruimte"/>
    <s v="Linoleum"/>
    <n v="3.2"/>
    <n v="3255"/>
  </r>
  <r>
    <x v="8"/>
    <n v="0"/>
    <n v="5"/>
    <s v="Kantoor"/>
    <s v="Bureaukamer"/>
    <s v="Linoleum"/>
    <n v="13.7"/>
    <n v="1104"/>
  </r>
  <r>
    <x v="8"/>
    <n v="0"/>
    <m/>
    <s v="Toilet"/>
    <s v="Sanitaire ruimte"/>
    <s v="Metaal/traanplaat"/>
    <n v="1"/>
    <n v="2255"/>
  </r>
  <r>
    <x v="8"/>
    <n v="0"/>
    <m/>
    <s v="Kantoor"/>
    <s v="Bureaukamer"/>
    <s v="Linoleum"/>
    <n v="17.260000000000002"/>
    <n v="1104"/>
  </r>
  <r>
    <x v="8"/>
    <s v="Portocabin"/>
    <m/>
    <s v="Kantoor"/>
    <s v="Bureaukamer"/>
    <s v="Linoleum"/>
    <n v="15.58"/>
    <n v="1104"/>
  </r>
  <r>
    <x v="9"/>
    <n v="0"/>
    <s v="001"/>
    <s v="trap"/>
    <s v="Verkeersruimte"/>
    <s v="Hout/tapijt"/>
    <n v="10"/>
    <n v="5255"/>
  </r>
  <r>
    <x v="9"/>
    <n v="0"/>
    <s v="002"/>
    <s v="Gang"/>
    <s v="Verkeersruimte"/>
    <s v="Steen"/>
    <n v="25.6"/>
    <n v="3255"/>
  </r>
  <r>
    <x v="9"/>
    <n v="0"/>
    <s v="003"/>
    <s v="Gang"/>
    <s v="Verkeersruimte"/>
    <s v="Tapijt"/>
    <n v="47.4"/>
    <n v="3255"/>
  </r>
  <r>
    <x v="9"/>
    <n v="0"/>
    <s v="004"/>
    <s v="Sanitair"/>
    <s v="Sanitaire ruimte"/>
    <s v="Steen"/>
    <n v="6.4"/>
    <n v="2255"/>
  </r>
  <r>
    <x v="9"/>
    <n v="0"/>
    <s v="005"/>
    <s v="Sanitair"/>
    <s v="Sanitaire ruimte"/>
    <s v="Steen"/>
    <n v="7"/>
    <n v="2255"/>
  </r>
  <r>
    <x v="9"/>
    <n v="0"/>
    <s v="006"/>
    <s v="Gang"/>
    <s v="Verkeersruimte"/>
    <s v="Steen"/>
    <n v="21.1"/>
    <n v="3255"/>
  </r>
  <r>
    <x v="9"/>
    <n v="0"/>
    <s v="007"/>
    <s v="Eetzaal"/>
    <s v="Verkeersruimte"/>
    <s v="Tapijt"/>
    <n v="28.5"/>
    <n v="18255"/>
  </r>
  <r>
    <x v="9"/>
    <n v="0"/>
    <s v="008"/>
    <s v="Kantoor"/>
    <s v="Bureaukamer"/>
    <s v="Tapijt"/>
    <n v="14"/>
    <n v="1255"/>
  </r>
  <r>
    <x v="9"/>
    <n v="0"/>
    <s v="009"/>
    <s v="Gang"/>
    <s v="Verkeersruimte"/>
    <s v="Steen"/>
    <n v="7.7"/>
    <n v="3255"/>
  </r>
  <r>
    <x v="9"/>
    <n v="0"/>
    <s v="010"/>
    <s v="keuken/pantry"/>
    <s v="Verkeersruimte"/>
    <s v="Steen "/>
    <n v="22.8"/>
    <s v="nvt"/>
  </r>
  <r>
    <x v="9"/>
    <n v="0"/>
    <s v="011"/>
    <s v="trap"/>
    <s v="Verkeersruimte"/>
    <s v="Steen "/>
    <n v="22.8"/>
    <n v="5255"/>
  </r>
  <r>
    <x v="9"/>
    <n v="0"/>
    <s v="012"/>
    <s v="Entree"/>
    <s v="Verkeersruimte"/>
    <s v="Tapijt"/>
    <n v="4.5"/>
    <n v="8255"/>
  </r>
  <r>
    <x v="9"/>
    <n v="0"/>
    <s v="013"/>
    <s v="Gang"/>
    <s v="Verkeersruimte"/>
    <s v="Steen"/>
    <n v="16.3"/>
    <n v="3255"/>
  </r>
  <r>
    <x v="9"/>
    <n v="0"/>
    <s v="014"/>
    <s v="Gang"/>
    <s v="Verkeersruimte"/>
    <s v="Steen"/>
    <n v="16.3"/>
    <n v="3255"/>
  </r>
  <r>
    <x v="9"/>
    <n v="0"/>
    <s v="015"/>
    <s v="Zaal"/>
    <s v="Verkeersruimte"/>
    <s v="Tapijt"/>
    <n v="51.6"/>
    <n v="18255"/>
  </r>
  <r>
    <x v="9"/>
    <n v="0"/>
    <s v="016"/>
    <s v="Sanitair"/>
    <s v="Sanitaire ruimte"/>
    <s v="Steen"/>
    <n v="9.6"/>
    <n v="2255"/>
  </r>
  <r>
    <x v="9"/>
    <n v="0"/>
    <s v="017"/>
    <s v="Gang"/>
    <s v="Verkeersruimte"/>
    <s v="Steen"/>
    <n v="4.5"/>
    <n v="3255"/>
  </r>
  <r>
    <x v="9"/>
    <n v="1"/>
    <n v="101"/>
    <s v="Overloop "/>
    <s v="Verkeersruimte"/>
    <s v="Tapijt"/>
    <n v="8.3000000000000007"/>
    <n v="3255"/>
  </r>
  <r>
    <x v="9"/>
    <n v="1"/>
    <n v="102"/>
    <s v="Gang"/>
    <s v="Verkeersruimte"/>
    <s v="Tapijt"/>
    <n v="47.4"/>
    <n v="3255"/>
  </r>
  <r>
    <x v="9"/>
    <n v="1"/>
    <n v="103"/>
    <s v="Douche"/>
    <s v="Sanitaire ruimte"/>
    <s v="Steen"/>
    <n v="2.2000000000000002"/>
    <n v="2255"/>
  </r>
  <r>
    <x v="9"/>
    <n v="1"/>
    <n v="104"/>
    <s v="Gang"/>
    <s v="Verkeersruimte"/>
    <s v="Tapijt"/>
    <n v="2.25"/>
    <n v="3255"/>
  </r>
  <r>
    <x v="9"/>
    <n v="1"/>
    <n v="105"/>
    <s v="Douche"/>
    <s v="Sanitaire ruimte"/>
    <s v="Steen"/>
    <n v="4.75"/>
    <n v="2255"/>
  </r>
  <r>
    <x v="9"/>
    <n v="1"/>
    <n v="106"/>
    <s v="Gang"/>
    <s v="Verkeersruimte"/>
    <s v="Tapijt"/>
    <n v="18.5"/>
    <n v="3255"/>
  </r>
  <r>
    <x v="9"/>
    <n v="1"/>
    <n v="107"/>
    <s v="Gang"/>
    <s v="Verkeersruimte"/>
    <s v="Tapijt"/>
    <n v="6.2"/>
    <n v="3255"/>
  </r>
  <r>
    <x v="9"/>
    <n v="1"/>
    <n v="108"/>
    <s v="Overloop "/>
    <s v="Verkeersruimte"/>
    <s v="Tapijt"/>
    <n v="6"/>
    <n v="3255"/>
  </r>
  <r>
    <x v="9"/>
    <n v="1"/>
    <n v="109"/>
    <s v="Gang"/>
    <s v="Verkeersruimte"/>
    <s v="Tapijt"/>
    <n v="20.5"/>
    <n v="3255"/>
  </r>
  <r>
    <x v="9"/>
    <n v="1"/>
    <n v="110"/>
    <s v="Sanitair"/>
    <s v="Sanitaire ruimte"/>
    <s v="Steen"/>
    <n v="10.8"/>
    <n v="2255"/>
  </r>
  <r>
    <x v="9"/>
    <n v="1"/>
    <n v="111"/>
    <s v="Sanitair unit"/>
    <s v="Sanitaire ruimte"/>
    <s v="Lino/PVC"/>
    <n v="16"/>
    <s v="nvt"/>
  </r>
  <r>
    <x v="9"/>
    <n v="1"/>
    <n v="112"/>
    <s v="Sanitair unit"/>
    <s v="Sanitaire ruimte"/>
    <s v="Lino/PVC"/>
    <n v="16"/>
    <s v="nvt"/>
  </r>
  <r>
    <x v="10"/>
    <n v="0"/>
    <s v="001"/>
    <s v="Kantoor"/>
    <s v="Bureaukamer"/>
    <s v="Laminaat"/>
    <n v="22.8"/>
    <n v="1255"/>
  </r>
  <r>
    <x v="10"/>
    <n v="0"/>
    <s v="002"/>
    <s v="Entree"/>
    <s v="Verkeersruimte"/>
    <s v="Laminaat"/>
    <n v="25.4"/>
    <n v="8255"/>
  </r>
  <r>
    <x v="10"/>
    <n v="0"/>
    <s v="003"/>
    <s v="Gang"/>
    <s v="Verkeersruimte"/>
    <s v="Laminaat"/>
    <n v="28.3"/>
    <n v="3255"/>
  </r>
  <r>
    <x v="10"/>
    <n v="0"/>
    <s v="004"/>
    <s v="Sanitair"/>
    <s v="Sanitaire ruimte"/>
    <s v="Steen "/>
    <n v="1.04"/>
    <n v="2255"/>
  </r>
  <r>
    <x v="10"/>
    <n v="0"/>
    <s v="005"/>
    <s v="Sanitair"/>
    <s v="Sanitaire ruimte"/>
    <s v="Steen "/>
    <n v="1.04"/>
    <n v="2255"/>
  </r>
  <r>
    <x v="10"/>
    <n v="0"/>
    <s v="006"/>
    <s v="Sanitair"/>
    <s v="Sanitaire ruimte"/>
    <s v="Steen "/>
    <n v="1.04"/>
    <n v="2255"/>
  </r>
  <r>
    <x v="10"/>
    <n v="0"/>
    <s v="007"/>
    <s v="Eetzaal"/>
    <s v="Verkeersruimte"/>
    <s v="Gietvloer"/>
    <n v="73.14"/>
    <n v="18255"/>
  </r>
  <r>
    <x v="10"/>
    <n v="0"/>
    <s v="008"/>
    <s v="Gang"/>
    <s v="Verkeersruimte"/>
    <s v="Laminaat"/>
    <n v="22.63"/>
    <n v="3255"/>
  </r>
  <r>
    <x v="10"/>
    <n v="0"/>
    <s v="009"/>
    <s v="Douche"/>
    <s v="Sanitaire ruimte"/>
    <s v="Steen "/>
    <n v="1.5"/>
    <n v="2255"/>
  </r>
  <r>
    <x v="10"/>
    <n v="0"/>
    <s v="010"/>
    <s v="Sanitair"/>
    <s v="Sanitaire ruimte"/>
    <s v="Steen "/>
    <n v="8.1"/>
    <n v="2255"/>
  </r>
  <r>
    <x v="10"/>
    <n v="0"/>
    <s v="011"/>
    <s v="Sanitair"/>
    <s v="Sanitaire ruimte"/>
    <s v="Steen "/>
    <n v="4.1900000000000004"/>
    <n v="2255"/>
  </r>
  <r>
    <x v="10"/>
    <n v="1"/>
    <n v="101"/>
    <s v="Gang"/>
    <s v="Verkeersruimte"/>
    <s v="Laminaat"/>
    <n v="8.5"/>
    <n v="3255"/>
  </r>
  <r>
    <x v="10"/>
    <n v="1"/>
    <n v="102"/>
    <s v="Sanitair"/>
    <s v="Sanitaire ruimte"/>
    <s v="Steen "/>
    <n v="1.03"/>
    <n v="2255"/>
  </r>
  <r>
    <x v="10"/>
    <n v="1"/>
    <n v="103"/>
    <s v="Overloop "/>
    <s v="Verkeersruimte"/>
    <s v="Laminaat"/>
    <n v="23.5"/>
    <n v="3255"/>
  </r>
  <r>
    <x v="10"/>
    <n v="1"/>
    <n v="104"/>
    <s v="Gang"/>
    <s v="Verkeersruimte"/>
    <s v="Laminaat"/>
    <n v="26.6"/>
    <n v="3255"/>
  </r>
  <r>
    <x v="10"/>
    <n v="1"/>
    <n v="105"/>
    <s v="Sanitair"/>
    <s v="Sanitaire ruimte"/>
    <s v="Rubber noppen"/>
    <n v="4.5"/>
    <n v="2255"/>
  </r>
  <r>
    <x v="10"/>
    <n v="1"/>
    <n v="106"/>
    <s v="Sanitair"/>
    <s v="Sanitaire ruimte"/>
    <s v="Rubber noppen"/>
    <n v="4.7"/>
    <n v="2255"/>
  </r>
  <r>
    <x v="11"/>
    <n v="0"/>
    <s v="001"/>
    <s v="Entree"/>
    <s v="Verkeersruimte"/>
    <s v="PVC"/>
    <n v="57.8"/>
    <n v="8255"/>
  </r>
  <r>
    <x v="11"/>
    <n v="0"/>
    <s v="002"/>
    <s v="Hal "/>
    <s v="Verkeersruimte"/>
    <s v="PVC"/>
    <n v="6.4"/>
    <n v="3255"/>
  </r>
  <r>
    <x v="11"/>
    <n v="0"/>
    <s v="003"/>
    <s v="Sanitair"/>
    <s v="Sanitaire ruimte"/>
    <s v="Steen"/>
    <n v="1.26"/>
    <n v="2255"/>
  </r>
  <r>
    <x v="11"/>
    <n v="0"/>
    <s v="004"/>
    <s v="Badkamer"/>
    <s v="Sanitaire ruimte"/>
    <s v="Steen"/>
    <n v="4.4000000000000004"/>
    <n v="2255"/>
  </r>
  <r>
    <x v="11"/>
    <n v="0"/>
    <s v="005"/>
    <s v="Kantoor"/>
    <s v="Bureaukamer"/>
    <s v="PVC"/>
    <n v="26"/>
    <n v="1255"/>
  </r>
  <r>
    <x v="11"/>
    <n v="0"/>
    <s v="006"/>
    <s v="trap"/>
    <s v="Verkeersruimte"/>
    <s v="Tapijt"/>
    <n v="2.4"/>
    <n v="5255"/>
  </r>
  <r>
    <x v="11"/>
    <n v="0"/>
    <s v="007"/>
    <s v="Sanitair"/>
    <s v="Sanitaire ruimte"/>
    <s v="Steen"/>
    <n v="5"/>
    <n v="2255"/>
  </r>
  <r>
    <x v="11"/>
    <n v="0"/>
    <s v="008"/>
    <s v="Hal "/>
    <s v="Verkeersruimte"/>
    <s v="PVC"/>
    <n v="3.5"/>
    <n v="3255"/>
  </r>
  <r>
    <x v="11"/>
    <n v="0"/>
    <s v="009"/>
    <s v="trap"/>
    <s v="Verkeersruimte"/>
    <s v="PVC/hout"/>
    <n v="10.37"/>
    <n v="5255"/>
  </r>
  <r>
    <x v="11"/>
    <n v="0"/>
    <s v="010"/>
    <s v="keuken/pantry"/>
    <s v="Verkeersruimte"/>
    <s v="Steen"/>
    <n v="18.899999999999999"/>
    <s v="nvt"/>
  </r>
  <r>
    <x v="11"/>
    <n v="0"/>
    <s v="011"/>
    <s v="Gang"/>
    <s v="Verkeersruimte"/>
    <s v="PVC"/>
    <n v="33.9"/>
    <n v="3255"/>
  </r>
  <r>
    <x v="11"/>
    <n v="0"/>
    <s v="012"/>
    <s v="trap"/>
    <s v="Verkeersruimte"/>
    <s v="Tapijt"/>
    <n v="2.4"/>
    <n v="5255"/>
  </r>
  <r>
    <x v="11"/>
    <n v="0"/>
    <s v="013"/>
    <s v="Ontbijtzaal"/>
    <s v="Verkeersruimte"/>
    <s v="PVC"/>
    <n v="36.200000000000003"/>
    <n v="18255"/>
  </r>
  <r>
    <x v="11"/>
    <n v="0"/>
    <s v="014"/>
    <s v="Sluis"/>
    <s v="Verkeersruimte"/>
    <s v="PVC"/>
    <n v="3.14"/>
    <n v="3255"/>
  </r>
  <r>
    <x v="11"/>
    <n v="0"/>
    <s v="015"/>
    <s v="Eetzaal"/>
    <s v="Verkeersruimte"/>
    <s v="PVC"/>
    <n v="75"/>
    <n v="18255"/>
  </r>
  <r>
    <x v="11"/>
    <n v="0"/>
    <s v="016"/>
    <s v="Lounge"/>
    <s v="Verkeersruimte"/>
    <s v="PVC"/>
    <n v="33"/>
    <n v="18255"/>
  </r>
  <r>
    <x v="11"/>
    <n v="0"/>
    <s v="017"/>
    <s v="Trap"/>
    <s v="Verkeersruimte"/>
    <s v="Tapijt"/>
    <n v="2.4"/>
    <n v="5255"/>
  </r>
  <r>
    <x v="11"/>
    <n v="1"/>
    <n v="101"/>
    <s v="Overloop "/>
    <s v="Verkeersruimte"/>
    <s v="Tapijt"/>
    <n v="2.5"/>
    <n v="3255"/>
  </r>
  <r>
    <x v="11"/>
    <n v="1"/>
    <n v="102"/>
    <s v="Douche"/>
    <s v="Sanitaire ruimte"/>
    <s v="Steen "/>
    <n v="2.7"/>
    <n v="2255"/>
  </r>
  <r>
    <x v="11"/>
    <n v="1"/>
    <n v="103"/>
    <s v="Gang"/>
    <s v="Verkeersruimte"/>
    <s v="Tapijt"/>
    <n v="24"/>
    <n v="3255"/>
  </r>
  <r>
    <x v="11"/>
    <n v="0"/>
    <s v="U001"/>
    <s v="Sanitair unit"/>
    <s v="Sanitaire ruimte"/>
    <s v="Lino/PVC"/>
    <n v="16"/>
    <n v="2255"/>
  </r>
  <r>
    <x v="11"/>
    <n v="0"/>
    <s v="U002"/>
    <s v="Sanitair unit"/>
    <s v="Sanitaire ruimte"/>
    <s v="Lino/PVC"/>
    <n v="16"/>
    <n v="2255"/>
  </r>
  <r>
    <x v="11"/>
    <n v="0"/>
    <s v="P1.1"/>
    <s v="Entree"/>
    <s v="Verkeersruimte"/>
    <s v="Steen"/>
    <n v="19.3"/>
    <n v="8255"/>
  </r>
  <r>
    <x v="11"/>
    <n v="0"/>
    <s v="P1.2"/>
    <s v="Leslokaal"/>
    <s v="Verkeersruimte"/>
    <s v="PVC"/>
    <n v="77.7"/>
    <n v="18255"/>
  </r>
  <r>
    <x v="11"/>
    <n v="0"/>
    <s v="P1.3"/>
    <s v="Keuken "/>
    <s v="Verkeersruimte"/>
    <s v="PVC"/>
    <n v="33.299999999999997"/>
    <s v="nvt"/>
  </r>
  <r>
    <x v="11"/>
    <n v="0"/>
    <s v="P1.4"/>
    <s v="Bijkeuken"/>
    <s v="Verkeersruimte"/>
    <s v="Steen"/>
    <n v="12.6"/>
    <s v="nvt"/>
  </r>
  <r>
    <x v="11"/>
    <n v="0"/>
    <s v="P1.5"/>
    <s v="Sanitair"/>
    <s v="Sanitaire ruimte"/>
    <s v="Steen"/>
    <n v="6"/>
    <n v="2255"/>
  </r>
  <r>
    <x v="11"/>
    <n v="0"/>
    <s v="P1.6"/>
    <s v="Sanitair"/>
    <s v="Sanitaire ruimte"/>
    <s v="Steen"/>
    <n v="1.6"/>
    <n v="2255"/>
  </r>
  <r>
    <x v="11"/>
    <n v="0"/>
    <s v="P1.7"/>
    <s v="Sanitair"/>
    <s v="Sanitaire ruimte"/>
    <s v="Steen"/>
    <n v="1.5"/>
    <n v="2255"/>
  </r>
  <r>
    <x v="11"/>
    <n v="0"/>
    <s v="P2.1"/>
    <s v="Entree"/>
    <s v="Verkeersruimte"/>
    <s v="Tapijt"/>
    <n v="8.3000000000000007"/>
    <n v="8255"/>
  </r>
  <r>
    <x v="11"/>
    <n v="0"/>
    <s v="P2.2"/>
    <s v="Trap"/>
    <s v="Verkeersruimte"/>
    <s v="Tapijt"/>
    <n v="3.3"/>
    <n v="5255"/>
  </r>
  <r>
    <x v="11"/>
    <n v="0"/>
    <s v="P2.3"/>
    <s v="Sanitair"/>
    <s v="Sanitaire ruimte"/>
    <s v="Steen"/>
    <n v="2.1"/>
    <n v="2255"/>
  </r>
  <r>
    <x v="11"/>
    <n v="0"/>
    <s v="P2.4"/>
    <s v="trap"/>
    <s v="Verkeersruimte"/>
    <s v="Tapijt"/>
    <n v="3.3"/>
    <n v="5255"/>
  </r>
  <r>
    <x v="11"/>
    <n v="0"/>
    <s v="P2.5"/>
    <s v="Entree"/>
    <s v="Verkeersruimte"/>
    <s v="Tapijt"/>
    <n v="8.3000000000000007"/>
    <n v="8255"/>
  </r>
  <r>
    <x v="11"/>
    <n v="1"/>
    <s v="P2.6"/>
    <s v="Overloop "/>
    <s v="Verkeersruimte"/>
    <s v="Tapijt"/>
    <n v="1.8"/>
    <n v="3255"/>
  </r>
  <r>
    <x v="11"/>
    <n v="1"/>
    <s v="P2.7"/>
    <s v="Badkamer"/>
    <s v="Sanitaire ruimte"/>
    <s v="Steen"/>
    <n v="8.1999999999999993"/>
    <n v="2255"/>
  </r>
  <r>
    <x v="11"/>
    <n v="1"/>
    <s v="P2.8"/>
    <s v="Overloop "/>
    <s v="Verkeersruimte"/>
    <s v="Tapijt"/>
    <n v="2.7"/>
    <n v="3255"/>
  </r>
  <r>
    <x v="11"/>
    <n v="0"/>
    <s v="010"/>
    <s v="Gang"/>
    <s v="Verkeersruimte"/>
    <s v="Lino/PVC"/>
    <n v="115"/>
    <n v="3255"/>
  </r>
  <r>
    <x v="11"/>
    <n v="0"/>
    <s v="004"/>
    <s v="Sanitair"/>
    <s v="Sanitaire ruimte"/>
    <s v="Lino/PVC"/>
    <n v="16"/>
    <n v="2255"/>
  </r>
  <r>
    <x v="11"/>
    <n v="0"/>
    <s v="021"/>
    <s v="Sanitair"/>
    <s v="Sanitaire ruimte"/>
    <s v="Lino/PVC"/>
    <n v="16"/>
    <n v="2255"/>
  </r>
  <r>
    <x v="11"/>
    <n v="0"/>
    <s v="024"/>
    <s v="Sanitair"/>
    <s v="Sanitaire ruimte"/>
    <s v="Lino/PVC"/>
    <n v="16"/>
    <n v="2255"/>
  </r>
  <r>
    <x v="11"/>
    <n v="0"/>
    <s v="025"/>
    <s v="Washok"/>
    <s v="Verkeersruimte"/>
    <s v="Lino/PVC"/>
    <n v="16"/>
    <n v="3255"/>
  </r>
  <r>
    <x v="12"/>
    <n v="0"/>
    <s v="001"/>
    <s v="Entree"/>
    <s v="Verkeersruimte"/>
    <s v="Hout"/>
    <n v="10.6"/>
    <n v="8255"/>
  </r>
  <r>
    <x v="12"/>
    <n v="0"/>
    <s v="002"/>
    <s v="Lesruimte"/>
    <s v="Verkeersruimte"/>
    <s v="Hout"/>
    <n v="39"/>
    <n v="18255"/>
  </r>
  <r>
    <x v="12"/>
    <n v="0"/>
    <s v="003"/>
    <s v="Kantoor"/>
    <s v="Bureaukamer"/>
    <s v="Hout"/>
    <n v="38"/>
    <n v="1255"/>
  </r>
  <r>
    <x v="12"/>
    <n v="0"/>
    <s v="004"/>
    <s v="Gang"/>
    <s v="Verkeersruimte"/>
    <s v="Hout"/>
    <n v="14.1"/>
    <n v="3255"/>
  </r>
  <r>
    <x v="12"/>
    <n v="0"/>
    <s v="005"/>
    <s v="Hal "/>
    <s v="Verkeersruimte"/>
    <s v="Hout"/>
    <n v="31.6"/>
    <n v="3255"/>
  </r>
  <r>
    <x v="12"/>
    <n v="0"/>
    <s v="006"/>
    <s v="Sanitair"/>
    <s v="Sanitaire ruimte"/>
    <s v="Hout"/>
    <n v="11.8"/>
    <n v="2255"/>
  </r>
  <r>
    <x v="12"/>
    <n v="0"/>
    <s v="007"/>
    <s v="Sanitair"/>
    <s v="Sanitaire ruimte"/>
    <s v="Hout"/>
    <n v="7.7"/>
    <n v="2255"/>
  </r>
  <r>
    <x v="12"/>
    <n v="0"/>
    <s v="008"/>
    <s v="Wasruimte"/>
    <s v="Verkeersruimte"/>
    <s v="Hout"/>
    <n v="14.9"/>
    <n v="3255"/>
  </r>
  <r>
    <x v="12"/>
    <n v="0"/>
    <s v="009"/>
    <s v="keuken/pantry"/>
    <s v="Verkeersruimte"/>
    <s v="Hout"/>
    <n v="35.6"/>
    <s v="nvt"/>
  </r>
  <r>
    <x v="12"/>
    <n v="0"/>
    <s v="010"/>
    <s v="Bijkeuken"/>
    <s v="Verkeersruimte"/>
    <s v="Hout"/>
    <n v="7.2"/>
    <s v="nvt"/>
  </r>
  <r>
    <x v="12"/>
    <n v="0"/>
    <s v="011"/>
    <s v="trap"/>
    <s v="Verkeersruimte"/>
    <s v="Hout"/>
    <n v="2.75"/>
    <n v="5255"/>
  </r>
  <r>
    <x v="12"/>
    <n v="0"/>
    <s v="012"/>
    <s v="Gang"/>
    <s v="Verkeersruimte"/>
    <s v="Hout"/>
    <n v="20.6"/>
    <n v="3255"/>
  </r>
  <r>
    <x v="12"/>
    <n v="0"/>
    <s v="013"/>
    <s v="Speelruimte"/>
    <s v="Verkeersruimte"/>
    <s v="Hout"/>
    <n v="52"/>
    <n v="18255"/>
  </r>
  <r>
    <x v="12"/>
    <n v="0"/>
    <s v="014"/>
    <s v="Gang"/>
    <s v="Verkeersruimte"/>
    <s v="Hout"/>
    <n v="65"/>
    <n v="3255"/>
  </r>
  <r>
    <x v="12"/>
    <n v="0"/>
    <s v="015"/>
    <s v="Eetzaal"/>
    <s v="Verkeersruimte"/>
    <s v="Hout"/>
    <n v="178.5"/>
    <n v="18255"/>
  </r>
  <r>
    <x v="12"/>
    <n v="0"/>
    <s v="016"/>
    <s v="Trap"/>
    <s v="Verkeersruimte"/>
    <s v="Hout"/>
    <n v="4.4000000000000004"/>
    <n v="5255"/>
  </r>
  <r>
    <x v="12"/>
    <n v="1"/>
    <n v="101"/>
    <s v="trap"/>
    <s v="Verkeersruimte"/>
    <s v="Hout"/>
    <n v="2.4"/>
    <n v="5255"/>
  </r>
  <r>
    <x v="12"/>
    <n v="1"/>
    <n v="102"/>
    <s v="Gang"/>
    <s v="Verkeersruimte"/>
    <s v="Hout"/>
    <n v="40.1"/>
    <n v="3255"/>
  </r>
  <r>
    <x v="12"/>
    <n v="1"/>
    <n v="103"/>
    <s v="trap"/>
    <s v="Verkeersruimte"/>
    <s v="Hout"/>
    <n v="1.2"/>
    <n v="5255"/>
  </r>
  <r>
    <x v="12"/>
    <n v="1"/>
    <n v="104"/>
    <s v="Gang"/>
    <s v="Verkeersruimte"/>
    <s v="Hout"/>
    <n v="17.2"/>
    <n v="3255"/>
  </r>
  <r>
    <x v="13"/>
    <n v="0"/>
    <m/>
    <s v="Kantoor"/>
    <s v="Bureaukamer"/>
    <s v="Tapijt"/>
    <n v="44"/>
    <s v="nvt"/>
  </r>
  <r>
    <x v="13"/>
    <n v="0"/>
    <m/>
    <s v="Toilet"/>
    <s v="Sanitaire ruimte"/>
    <s v="DHGT"/>
    <n v="3.2"/>
    <s v="nvt"/>
  </r>
  <r>
    <x v="13"/>
    <n v="0"/>
    <m/>
    <s v="Toilet"/>
    <s v="Sanitaire ruimte"/>
    <s v="DHGT"/>
    <n v="3.8"/>
    <n v="2052"/>
  </r>
  <r>
    <x v="13"/>
    <n v="0"/>
    <m/>
    <s v="Meterkast"/>
    <s v="Verkeersruimte"/>
    <s v="?"/>
    <m/>
    <s v="nvt"/>
  </r>
  <r>
    <x v="13"/>
    <n v="0"/>
    <m/>
    <s v="Gang"/>
    <s v="Verkeersruimte"/>
    <s v="DHGT"/>
    <n v="4.5"/>
    <n v="3052"/>
  </r>
  <r>
    <x v="13"/>
    <n v="0"/>
    <m/>
    <s v="Hal"/>
    <s v="Verkeersruimte"/>
    <s v="DHGT"/>
    <n v="7.1"/>
    <n v="3052"/>
  </r>
  <r>
    <x v="13"/>
    <n v="0"/>
    <m/>
    <s v="Kantoor"/>
    <s v="Bureaukamer"/>
    <s v="Tapijt"/>
    <n v="18.600000000000001"/>
    <n v="1052"/>
  </r>
  <r>
    <x v="13"/>
    <n v="0"/>
    <m/>
    <s v="Trap"/>
    <s v="Verkeersruimte"/>
    <s v="Hout"/>
    <n v="4.5999999999999996"/>
    <n v="5052"/>
  </r>
  <r>
    <x v="13"/>
    <n v="0"/>
    <m/>
    <s v="Lift"/>
    <s v="Verkeersruimte"/>
    <s v="Linoleum"/>
    <n v="3"/>
    <n v="4052"/>
  </r>
  <r>
    <x v="13"/>
    <n v="0"/>
    <m/>
    <s v="Entree"/>
    <s v="Verkeersruimte"/>
    <s v="DHGT"/>
    <n v="10.3"/>
    <n v="8052"/>
  </r>
  <r>
    <x v="13"/>
    <n v="1"/>
    <m/>
    <s v="Raadzaal"/>
    <s v="Verkeersruimte"/>
    <s v="Tapijt"/>
    <n v="53"/>
    <n v="18052"/>
  </r>
  <r>
    <x v="13"/>
    <n v="1"/>
    <m/>
    <s v="Tribune"/>
    <s v="Verkeersruimte"/>
    <s v="Tapijt"/>
    <n v="24.2"/>
    <n v="18052"/>
  </r>
  <r>
    <x v="13"/>
    <n v="1"/>
    <m/>
    <s v="Gang"/>
    <s v="Verkeersruimte"/>
    <s v="Tapijt"/>
    <n v="11.3"/>
    <n v="3052"/>
  </r>
  <r>
    <x v="13"/>
    <n v="1"/>
    <m/>
    <s v="Trap"/>
    <s v="Verkeersruimte"/>
    <s v="Tapijt"/>
    <n v="4.5999999999999996"/>
    <n v="5052"/>
  </r>
  <r>
    <x v="14"/>
    <n v="0"/>
    <m/>
    <s v="Hal"/>
    <s v="Verkeersruimte"/>
    <s v="PVC"/>
    <n v="103.8"/>
    <n v="3255"/>
  </r>
  <r>
    <x v="14"/>
    <n v="0"/>
    <m/>
    <s v="Balie"/>
    <s v="Bureaukamer"/>
    <s v="Tapijt"/>
    <n v="37.799999999999997"/>
    <n v="1104"/>
  </r>
  <r>
    <x v="14"/>
    <n v="0"/>
    <m/>
    <s v="Kantoor"/>
    <s v="Bureaukamer"/>
    <s v="Tapijt"/>
    <n v="66.2"/>
    <n v="1104"/>
  </r>
  <r>
    <x v="14"/>
    <n v="0"/>
    <m/>
    <s v="Repro ruimte"/>
    <s v="Verkeersruimte"/>
    <s v="Tapijt"/>
    <n v="10"/>
    <n v="3104"/>
  </r>
  <r>
    <x v="14"/>
    <n v="0"/>
    <m/>
    <s v="Entree"/>
    <s v="Verkeersruimte"/>
    <s v="Tapijt"/>
    <n v="7.1"/>
    <n v="8255"/>
  </r>
  <r>
    <x v="14"/>
    <n v="0"/>
    <m/>
    <s v="Toilet"/>
    <s v="Sanitaire ruimte"/>
    <s v="DHGT"/>
    <n v="3.7"/>
    <n v="2255"/>
  </r>
  <r>
    <x v="14"/>
    <n v="0"/>
    <m/>
    <s v="Toilet"/>
    <s v="Sanitaire ruimte"/>
    <s v="DHGT"/>
    <n v="6.6"/>
    <n v="2255"/>
  </r>
  <r>
    <x v="14"/>
    <n v="0"/>
    <m/>
    <s v="Toilet"/>
    <s v="Sanitaire ruimte"/>
    <s v="DHGT"/>
    <n v="6"/>
    <n v="2255"/>
  </r>
  <r>
    <x v="14"/>
    <n v="0"/>
    <m/>
    <s v="Werkkast"/>
    <s v="Verkeersruimte"/>
    <s v="?"/>
    <n v="1"/>
    <s v="nvt"/>
  </r>
  <r>
    <x v="14"/>
    <n v="0"/>
    <m/>
    <s v="Kantoor"/>
    <s v="Bureaukamer"/>
    <s v="Tapijt"/>
    <n v="8.4"/>
    <n v="1104"/>
  </r>
  <r>
    <x v="14"/>
    <n v="0"/>
    <m/>
    <s v="Kantoor"/>
    <s v="Bureaukamer"/>
    <s v="Tapijt"/>
    <n v="8.5"/>
    <n v="1104"/>
  </r>
  <r>
    <x v="15"/>
    <n v="0"/>
    <n v="1"/>
    <s v="Entree"/>
    <s v="Verkeersruimte"/>
    <s v="Tapijt"/>
    <n v="4.5"/>
    <n v="8255"/>
  </r>
  <r>
    <x v="15"/>
    <n v="0"/>
    <n v="2"/>
    <s v="Hal"/>
    <s v="Verkeersruimte"/>
    <s v="Natuursteen"/>
    <n v="25"/>
    <n v="3255"/>
  </r>
  <r>
    <x v="15"/>
    <n v="0"/>
    <n v="3"/>
    <s v="Vergaderruimte"/>
    <s v="Bureaukamer"/>
    <s v="Tapijt"/>
    <n v="8.6999999999999993"/>
    <n v="15104"/>
  </r>
  <r>
    <x v="15"/>
    <n v="0"/>
    <s v="4a"/>
    <s v="Kantoor"/>
    <s v="Bureaukamer"/>
    <s v="Tapijt"/>
    <n v="6"/>
    <n v="1104"/>
  </r>
  <r>
    <x v="15"/>
    <n v="0"/>
    <s v="4b"/>
    <s v="Gang"/>
    <s v="Verkeersruimte"/>
    <s v="Natuursteen"/>
    <n v="8"/>
    <n v="3255"/>
  </r>
  <r>
    <x v="15"/>
    <n v="0"/>
    <n v="5"/>
    <s v="Vergaderruimte"/>
    <s v="Bureaukamer"/>
    <s v="Tapijt"/>
    <n v="18"/>
    <n v="15104"/>
  </r>
  <r>
    <x v="15"/>
    <n v="0"/>
    <n v="6"/>
    <s v="Vergaderruimte"/>
    <s v="Bureaukamer"/>
    <s v="Tapijt"/>
    <n v="10.5"/>
    <n v="15104"/>
  </r>
  <r>
    <x v="15"/>
    <n v="0"/>
    <n v="7"/>
    <s v="Kluis"/>
    <s v="Verkeersruimte"/>
    <s v="?"/>
    <n v="11.7"/>
    <s v="nvt"/>
  </r>
  <r>
    <x v="15"/>
    <n v="0"/>
    <n v="8"/>
    <s v="Technische ruimte"/>
    <s v="Verkeersruimte"/>
    <s v="Tapijt"/>
    <n v="3.5"/>
    <s v="nvt"/>
  </r>
  <r>
    <x v="15"/>
    <n v="0"/>
    <n v="9"/>
    <s v="Kantoor"/>
    <s v="Bureaukamer"/>
    <s v="Tapijt"/>
    <n v="51.5"/>
    <n v="1104"/>
  </r>
  <r>
    <x v="15"/>
    <n v="0"/>
    <n v="10"/>
    <s v="Gang"/>
    <s v="Verkeersruimte"/>
    <s v="Linoleum"/>
    <n v="4.5999999999999996"/>
    <n v="3255"/>
  </r>
  <r>
    <x v="15"/>
    <n v="0"/>
    <n v="12"/>
    <s v="Toilet"/>
    <s v="Sanitaire ruimte"/>
    <s v="Linoleum"/>
    <n v="1.4"/>
    <n v="2255"/>
  </r>
  <r>
    <x v="15"/>
    <n v="0"/>
    <n v="13"/>
    <s v="Nio"/>
    <s v="Verkeersruimte"/>
    <s v="?"/>
    <n v="0"/>
    <s v="nvt"/>
  </r>
  <r>
    <x v="15"/>
    <n v="0"/>
    <n v="14"/>
    <s v="Toilet"/>
    <s v="Sanitaire ruimte"/>
    <s v="Linoleum"/>
    <n v="1.4"/>
    <n v="2255"/>
  </r>
  <r>
    <x v="15"/>
    <n v="0"/>
    <n v="15"/>
    <s v="Keuken"/>
    <s v="Verkeersruimte"/>
    <s v="Linoleum"/>
    <n v="4.8"/>
    <n v="6255"/>
  </r>
  <r>
    <x v="15"/>
    <n v="0"/>
    <n v="16"/>
    <s v="Werkkast"/>
    <s v="Verkeersruimte"/>
    <s v="?"/>
    <n v="1.5"/>
    <s v="nvt"/>
  </r>
  <r>
    <x v="15"/>
    <n v="0"/>
    <n v="17"/>
    <s v="Entree"/>
    <s v="Verkeersruimte"/>
    <s v="Tapijt"/>
    <n v="7.6"/>
    <n v="8255"/>
  </r>
  <r>
    <x v="15"/>
    <n v="0"/>
    <n v="18"/>
    <s v="Entree"/>
    <s v="Verkeersruimte"/>
    <s v="Tapijt"/>
    <n v="7.8"/>
    <n v="8255"/>
  </r>
  <r>
    <x v="15"/>
    <n v="0"/>
    <n v="19"/>
    <s v="Meterkast"/>
    <s v="Verkeersruimte"/>
    <s v="?"/>
    <n v="0"/>
    <s v="nvt"/>
  </r>
  <r>
    <x v="15"/>
    <n v="1"/>
    <n v="20"/>
    <s v="Gang"/>
    <s v="Verkeersruimte"/>
    <s v="Tapijt"/>
    <n v="24.3"/>
    <n v="3255"/>
  </r>
  <r>
    <x v="15"/>
    <n v="1"/>
    <n v="21"/>
    <s v="Technische ruimte"/>
    <s v="Verkeersruimte"/>
    <s v="Hout"/>
    <n v="0"/>
    <s v="nvt"/>
  </r>
  <r>
    <x v="15"/>
    <n v="1"/>
    <n v="22"/>
    <s v="Gang"/>
    <s v="Verkeersruimte"/>
    <s v="Tapijt"/>
    <n v="14.3"/>
    <n v="3255"/>
  </r>
  <r>
    <x v="15"/>
    <n v="1"/>
    <n v="23"/>
    <s v="Patchruimte"/>
    <s v="Verkeersruimte"/>
    <s v="Hout"/>
    <n v="0"/>
    <s v="nvt"/>
  </r>
  <r>
    <x v="15"/>
    <n v="1"/>
    <n v="24"/>
    <s v="Kantoor"/>
    <s v="Bureaukamer"/>
    <s v="Tapijt"/>
    <n v="26"/>
    <n v="1104"/>
  </r>
  <r>
    <x v="16"/>
    <n v="0"/>
    <s v="0.01"/>
    <s v="Entree"/>
    <s v="Verkeersruimte"/>
    <s v="Steen/tapijt"/>
    <n v="40.869999999999997"/>
    <s v="nvt"/>
  </r>
  <r>
    <x v="16"/>
    <n v="0"/>
    <s v="0.02"/>
    <s v="Gang"/>
    <s v="Verkeersruimte"/>
    <s v="Steen "/>
    <n v="8.67"/>
    <s v="nvt"/>
  </r>
  <r>
    <x v="16"/>
    <n v="0"/>
    <s v="0.03"/>
    <s v="Gang"/>
    <s v="Verkeersruimte"/>
    <s v="Steen "/>
    <n v="5.6"/>
    <s v="nvt"/>
  </r>
  <r>
    <x v="16"/>
    <n v="0"/>
    <s v="0.04"/>
    <s v="sportzaal"/>
    <s v="Verkeersruimte"/>
    <s v="Pulastic"/>
    <n v="359.8"/>
    <s v="nvt"/>
  </r>
  <r>
    <x v="16"/>
    <n v="0"/>
    <s v="0.05"/>
    <s v="Toestel berging"/>
    <s v="Verkeersruimte"/>
    <s v="Steen"/>
    <n v="74"/>
    <s v="nvt"/>
  </r>
  <r>
    <x v="16"/>
    <n v="0"/>
    <s v="0.06"/>
    <s v="Kantoor"/>
    <s v="Bureaukamer"/>
    <s v="Steen"/>
    <n v="11.67"/>
    <s v="nvt"/>
  </r>
  <r>
    <x v="16"/>
    <n v="0"/>
    <s v="0.07"/>
    <s v="Kleedruimte 1tegel"/>
    <s v="Verkeersruimte"/>
    <s v="Steen "/>
    <n v="39.68"/>
    <s v="nvt"/>
  </r>
  <r>
    <x v="16"/>
    <n v="0"/>
    <s v="0.08"/>
    <s v="Douche"/>
    <s v="Sanitaire ruimte"/>
    <s v="Steen"/>
    <n v="16.350000000000001"/>
    <s v="nvt"/>
  </r>
  <r>
    <x v="16"/>
    <n v="0"/>
    <s v="0.09"/>
    <s v="toilet"/>
    <s v="Sanitaire ruimte"/>
    <s v="Steen"/>
    <n v="1.95"/>
    <s v="nvt"/>
  </r>
  <r>
    <x v="16"/>
    <n v="0"/>
    <s v="0.10"/>
    <s v="Scheidsrechterruimte"/>
    <s v="Verkeersruimte"/>
    <s v="Steen"/>
    <n v="11.49"/>
    <s v="nvt"/>
  </r>
  <r>
    <x v="16"/>
    <n v="0"/>
    <s v="0.11"/>
    <s v="Kleedruimte 2tegel"/>
    <s v="Verkeersruimte"/>
    <s v="Steen "/>
    <n v="39.68"/>
    <s v="nvt"/>
  </r>
  <r>
    <x v="16"/>
    <n v="0"/>
    <s v="0.12"/>
    <s v="Douche"/>
    <s v="Sanitaire ruimte"/>
    <s v="Steen"/>
    <n v="16.350000000000001"/>
    <s v="nvt"/>
  </r>
  <r>
    <x v="16"/>
    <n v="0"/>
    <s v="0.13"/>
    <s v="toilet"/>
    <s v="Sanitaire ruimte"/>
    <s v="Steen"/>
    <n v="1.95"/>
    <s v="nvt"/>
  </r>
  <r>
    <x v="16"/>
    <n v="0"/>
    <s v="0.14"/>
    <s v="Scheidsrechterruimte"/>
    <s v="Verkeersruimte"/>
    <s v="Steen"/>
    <n v="11.49"/>
    <s v="nvt"/>
  </r>
  <r>
    <x v="16"/>
    <n v="0"/>
    <s v="0.15"/>
    <s v="Gang"/>
    <s v="Verkeersruimte"/>
    <s v="Steen "/>
    <n v="8.67"/>
    <s v="nvt"/>
  </r>
  <r>
    <x v="16"/>
    <n v="0"/>
    <s v="0.16"/>
    <s v="Gang"/>
    <s v="Verkeersruimte"/>
    <s v="Steen "/>
    <n v="5.6"/>
    <s v="nvt"/>
  </r>
  <r>
    <x v="16"/>
    <n v="0"/>
    <s v="0.17"/>
    <s v="Kleedruimte 3tegel"/>
    <s v="Verkeersruimte"/>
    <s v="Steen "/>
    <n v="39.68"/>
    <s v="nvt"/>
  </r>
  <r>
    <x v="16"/>
    <n v="0"/>
    <s v="0.18"/>
    <s v="Douche"/>
    <s v="Sanitaire ruimte"/>
    <s v="Steen"/>
    <n v="16.350000000000001"/>
    <s v="nvt"/>
  </r>
  <r>
    <x v="16"/>
    <n v="0"/>
    <s v="0.19"/>
    <s v="toilet"/>
    <s v="Sanitaire ruimte"/>
    <s v="Steen"/>
    <n v="1.95"/>
    <s v="nvt"/>
  </r>
  <r>
    <x v="16"/>
    <n v="0"/>
    <s v="0.20"/>
    <s v="Scheidsrechterruimte"/>
    <s v="Verkeersruimte"/>
    <s v="Steen"/>
    <n v="11.49"/>
    <s v="nvt"/>
  </r>
  <r>
    <x v="16"/>
    <n v="0"/>
    <s v="0.21"/>
    <s v="Kleedruimte 4tegel"/>
    <s v="Verkeersruimte"/>
    <s v="Steen "/>
    <n v="39.68"/>
    <s v="nvt"/>
  </r>
  <r>
    <x v="16"/>
    <n v="0"/>
    <s v="0.22"/>
    <s v="Douche"/>
    <s v="Sanitaire ruimte"/>
    <s v="Steen"/>
    <n v="16.350000000000001"/>
    <s v="nvt"/>
  </r>
  <r>
    <x v="16"/>
    <n v="0"/>
    <s v="0.23"/>
    <s v="toilet"/>
    <s v="Sanitaire ruimte"/>
    <s v="Steen"/>
    <n v="1.95"/>
    <s v="nvt"/>
  </r>
  <r>
    <x v="16"/>
    <n v="0"/>
    <s v="0.24"/>
    <s v="Scheidsrechterruimte"/>
    <s v="Verkeersruimte"/>
    <s v="Steen"/>
    <n v="11.49"/>
    <s v="nvt"/>
  </r>
  <r>
    <x v="16"/>
    <n v="0"/>
    <s v="0.25"/>
    <s v="pers.ingang"/>
    <s v="Verkeersruimte"/>
    <s v="Steen "/>
    <n v="8.67"/>
    <s v="nvt"/>
  </r>
  <r>
    <x v="16"/>
    <n v="0"/>
    <s v="0.26"/>
    <s v="Hal "/>
    <s v="Verkeersruimte"/>
    <s v="Steen "/>
    <n v="38.880000000000003"/>
    <s v="nvt"/>
  </r>
  <r>
    <x v="16"/>
    <n v="0"/>
    <s v="0.27"/>
    <s v="trap"/>
    <s v="Verkeersruimte"/>
    <s v="Hout"/>
    <n v="12"/>
    <s v="nvt"/>
  </r>
  <r>
    <x v="16"/>
    <n v="0"/>
    <s v="0.28"/>
    <s v="Berging"/>
    <s v="Verkeersruimte"/>
    <s v="Steen"/>
    <n v="69"/>
    <s v="nvt"/>
  </r>
  <r>
    <x v="16"/>
    <n v="0"/>
    <s v="0.29"/>
    <s v="Miva"/>
    <s v="Sanitaire ruimte"/>
    <s v="Steen"/>
    <n v="3.98"/>
    <s v="nvt"/>
  </r>
  <r>
    <x v="16"/>
    <n v="1"/>
    <s v="1.01"/>
    <s v="tribune"/>
    <s v="Verkeersruimte"/>
    <s v="Linoleum"/>
    <n v="23"/>
    <s v="nvt"/>
  </r>
  <r>
    <x v="16"/>
    <n v="1"/>
    <s v="1.02"/>
    <s v="kantine"/>
    <s v="Verkeersruimte"/>
    <s v="Linoleum"/>
    <n v="120"/>
    <s v="nvt"/>
  </r>
  <r>
    <x v="17"/>
    <n v="0"/>
    <m/>
    <s v="Hal"/>
    <s v="Verkeersruimte"/>
    <s v="Hout"/>
    <n v="32.6"/>
    <n v="3156"/>
  </r>
  <r>
    <x v="17"/>
    <n v="0"/>
    <m/>
    <s v="Kantoor"/>
    <s v="Bureaukamer"/>
    <s v="Hout"/>
    <n v="9.6999999999999993"/>
    <n v="1104"/>
  </r>
  <r>
    <x v="17"/>
    <n v="0"/>
    <m/>
    <s v="Hal"/>
    <s v="Verkeersruimte"/>
    <s v="Tapijt"/>
    <n v="6.2"/>
    <n v="3156"/>
  </r>
  <r>
    <x v="17"/>
    <n v="0"/>
    <m/>
    <s v="Trap"/>
    <s v="Verkeersruimte"/>
    <s v="Tapijt"/>
    <n v="4.2"/>
    <n v="5156"/>
  </r>
  <r>
    <x v="17"/>
    <n v="0"/>
    <m/>
    <s v="Museumruimte"/>
    <s v="Verkeersruimte"/>
    <s v="?"/>
    <n v="60.6"/>
    <n v="18156"/>
  </r>
  <r>
    <x v="17"/>
    <n v="0"/>
    <m/>
    <s v="Gang"/>
    <s v="Verkeersruimte"/>
    <s v="DHGT"/>
    <n v="8"/>
    <n v="3156"/>
  </r>
  <r>
    <x v="17"/>
    <n v="0"/>
    <m/>
    <s v="Museumruimte"/>
    <s v="Verkeersruimte"/>
    <s v="?"/>
    <n v="78"/>
    <n v="18156"/>
  </r>
  <r>
    <x v="17"/>
    <n v="0"/>
    <m/>
    <s v="Toilet"/>
    <s v="Sanitaire ruimte"/>
    <s v="DHGT"/>
    <n v="3.1"/>
    <n v="2156"/>
  </r>
  <r>
    <x v="17"/>
    <n v="0"/>
    <m/>
    <s v="Toilet"/>
    <s v="Sanitaire ruimte"/>
    <s v="DHGT"/>
    <n v="3.2"/>
    <n v="2156"/>
  </r>
  <r>
    <x v="17"/>
    <n v="0"/>
    <m/>
    <s v="Kast"/>
    <s v="Verkeersruimte"/>
    <s v="?"/>
    <n v="1.2"/>
    <s v="nvt"/>
  </r>
  <r>
    <x v="17"/>
    <n v="1"/>
    <m/>
    <s v="Vergaderruimte"/>
    <s v="Bureaukamer"/>
    <s v="Tapijt"/>
    <n v="35"/>
    <n v="15104"/>
  </r>
  <r>
    <x v="17"/>
    <n v="1"/>
    <m/>
    <s v="Raadzaal"/>
    <s v="Verkeersruimte"/>
    <s v="Tapijt"/>
    <n v="78"/>
    <n v="18156"/>
  </r>
  <r>
    <x v="17"/>
    <n v="1"/>
    <m/>
    <s v="Keuken"/>
    <s v="Verkeersruimte"/>
    <s v="Tapijt"/>
    <n v="15.3"/>
    <n v="6156"/>
  </r>
  <r>
    <x v="17"/>
    <n v="1"/>
    <m/>
    <s v="Gang"/>
    <s v="Verkeersruimte"/>
    <s v="Tapijt"/>
    <n v="28.8"/>
    <n v="3156"/>
  </r>
  <r>
    <x v="17"/>
    <n v="1"/>
    <m/>
    <s v="Berging"/>
    <s v="Verkeersruimte"/>
    <s v="?"/>
    <n v="11.7"/>
    <s v="nvt"/>
  </r>
  <r>
    <x v="17"/>
    <n v="1"/>
    <m/>
    <s v="Museumruimte"/>
    <s v="Verkeersruimte"/>
    <s v="?"/>
    <n v="37.9"/>
    <n v="18156"/>
  </r>
  <r>
    <x v="17"/>
    <n v="1"/>
    <m/>
    <s v="Trap"/>
    <s v="Verkeersruimte"/>
    <s v="Tapijt"/>
    <n v="12"/>
    <n v="515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F7C6E2-E562-BE4B-AAD5-13E07E088FFB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A22" firstHeaderRow="1" firstDataRow="1" firstDataCol="1"/>
  <pivotFields count="8"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10"/>
        <item x="9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showGridLines="0" tabSelected="1" topLeftCell="A4" workbookViewId="0">
      <selection activeCell="B17" sqref="B17"/>
    </sheetView>
  </sheetViews>
  <sheetFormatPr baseColWidth="10" defaultColWidth="14.1640625" defaultRowHeight="17" customHeight="1"/>
  <cols>
    <col min="1" max="1" width="45.1640625" customWidth="1"/>
    <col min="2" max="2" width="19.1640625" style="217" customWidth="1"/>
    <col min="3" max="3" width="27.1640625" style="201" customWidth="1"/>
    <col min="4" max="5" width="19.1640625" style="201" customWidth="1"/>
    <col min="6" max="6" width="15.1640625" style="201" customWidth="1"/>
    <col min="7" max="7" width="19.83203125" style="201" customWidth="1"/>
    <col min="8" max="8" width="2.1640625" customWidth="1"/>
    <col min="9" max="9" width="24.5" customWidth="1"/>
    <col min="10" max="10" width="11.1640625" customWidth="1"/>
    <col min="11" max="11" width="27.1640625" customWidth="1"/>
    <col min="12" max="12" width="22" customWidth="1"/>
    <col min="13" max="26" width="11.1640625" customWidth="1"/>
  </cols>
  <sheetData>
    <row r="1" spans="1:26" ht="17" customHeight="1">
      <c r="A1" s="615"/>
      <c r="B1" s="154"/>
      <c r="C1" s="9"/>
      <c r="D1" s="9"/>
      <c r="E1" s="9"/>
      <c r="F1" s="9"/>
      <c r="G1" s="9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7" customHeight="1">
      <c r="A2" s="11"/>
      <c r="B2" s="154"/>
      <c r="C2" s="9"/>
      <c r="D2" s="9"/>
      <c r="E2" s="9"/>
      <c r="F2" s="9"/>
      <c r="G2" s="9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7" customHeight="1">
      <c r="A3" s="13" t="s">
        <v>0</v>
      </c>
      <c r="B3" s="15" t="s">
        <v>1</v>
      </c>
      <c r="C3" s="325"/>
      <c r="D3" s="325"/>
      <c r="E3" s="325"/>
      <c r="F3" s="325"/>
      <c r="G3" s="325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7" customHeight="1">
      <c r="A4" s="13" t="s">
        <v>2</v>
      </c>
      <c r="B4" s="15" t="s">
        <v>3</v>
      </c>
      <c r="C4" s="325"/>
      <c r="D4" s="325"/>
      <c r="E4" s="325"/>
      <c r="F4" s="325"/>
      <c r="G4" s="325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7" customHeight="1">
      <c r="A5" s="13" t="s">
        <v>4</v>
      </c>
      <c r="B5" s="609" t="s">
        <v>5</v>
      </c>
      <c r="C5" s="610"/>
      <c r="D5" s="325"/>
      <c r="E5" s="325"/>
      <c r="F5" s="682" t="s">
        <v>6</v>
      </c>
      <c r="G5" s="683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7" customHeight="1">
      <c r="A6" s="13" t="s">
        <v>7</v>
      </c>
      <c r="B6" s="15" t="s">
        <v>8</v>
      </c>
      <c r="C6" s="325"/>
      <c r="D6" s="325"/>
      <c r="E6" s="26"/>
      <c r="F6" s="326"/>
      <c r="G6" s="327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7" customHeight="1">
      <c r="A7" s="13" t="s">
        <v>9</v>
      </c>
      <c r="B7" s="684" t="s">
        <v>10</v>
      </c>
      <c r="C7" s="685"/>
      <c r="D7" s="325"/>
      <c r="E7" s="325"/>
      <c r="F7" s="29" t="s">
        <v>11</v>
      </c>
      <c r="G7" s="34" t="s">
        <v>12</v>
      </c>
      <c r="H7" s="16"/>
      <c r="I7" s="3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7" customHeight="1">
      <c r="A8" s="13" t="s">
        <v>13</v>
      </c>
      <c r="B8" s="23">
        <v>46388</v>
      </c>
      <c r="C8" s="325"/>
      <c r="D8" s="328"/>
      <c r="E8" s="325"/>
      <c r="F8" s="38">
        <v>46753</v>
      </c>
      <c r="G8" s="616">
        <v>0</v>
      </c>
      <c r="H8" s="16"/>
      <c r="I8" s="211" t="s">
        <v>14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7" customHeight="1">
      <c r="A9" s="13" t="s">
        <v>15</v>
      </c>
      <c r="B9" s="15" t="s">
        <v>16</v>
      </c>
      <c r="C9" s="325"/>
      <c r="D9" s="325"/>
      <c r="E9" s="325"/>
      <c r="F9" s="43">
        <v>47119</v>
      </c>
      <c r="G9" s="617">
        <v>0</v>
      </c>
      <c r="H9" s="16"/>
      <c r="I9" s="211" t="s">
        <v>14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7" customHeight="1">
      <c r="A10" s="13"/>
      <c r="B10" s="18"/>
      <c r="C10" s="24"/>
      <c r="D10" s="329"/>
      <c r="E10" s="24"/>
      <c r="F10" s="43">
        <v>47484</v>
      </c>
      <c r="G10" s="617">
        <v>0</v>
      </c>
      <c r="H10" s="16"/>
      <c r="I10" s="211" t="s">
        <v>14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7" customHeight="1">
      <c r="A11" s="11" t="s">
        <v>17</v>
      </c>
      <c r="B11" s="18"/>
      <c r="C11" s="330">
        <f>G23+G28+G34+G39+G46+G51</f>
        <v>276346.70265005948</v>
      </c>
      <c r="D11" s="329"/>
      <c r="E11" s="329"/>
      <c r="F11" s="43">
        <v>47849</v>
      </c>
      <c r="G11" s="617">
        <v>0</v>
      </c>
      <c r="H11" s="16"/>
      <c r="I11" s="211" t="s">
        <v>14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7" customHeight="1">
      <c r="A12" s="11" t="s">
        <v>18</v>
      </c>
      <c r="B12" s="18"/>
      <c r="C12" s="330">
        <f>G53</f>
        <v>9680</v>
      </c>
      <c r="D12" s="331"/>
      <c r="E12" s="331"/>
      <c r="F12" s="43">
        <v>48214</v>
      </c>
      <c r="G12" s="617">
        <v>0</v>
      </c>
      <c r="H12" s="16"/>
      <c r="I12" s="211" t="s">
        <v>14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7" customHeight="1">
      <c r="A13" s="11" t="s">
        <v>19</v>
      </c>
      <c r="B13" s="18"/>
      <c r="C13" s="330">
        <f>'8-Glasbewassing'!AD45*(100%+G$8)*(100%+G$9)*(100%+G$10)*(100%+G$11)*(100%+G$12)*(100%+G$13)*(100%+G$14)</f>
        <v>0</v>
      </c>
      <c r="D13" s="331"/>
      <c r="E13" s="331"/>
      <c r="F13" s="43">
        <v>48580</v>
      </c>
      <c r="G13" s="617">
        <v>0</v>
      </c>
      <c r="H13" s="16"/>
      <c r="I13" s="211" t="s">
        <v>14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7" customHeight="1">
      <c r="A14" s="11" t="s">
        <v>20</v>
      </c>
      <c r="B14" s="18"/>
      <c r="C14" s="332">
        <f>G76</f>
        <v>0</v>
      </c>
      <c r="D14" s="24"/>
      <c r="E14" s="24"/>
      <c r="F14" s="54">
        <v>48945</v>
      </c>
      <c r="G14" s="618">
        <v>0</v>
      </c>
      <c r="H14" s="16"/>
      <c r="I14" s="211" t="s">
        <v>14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7" customHeight="1">
      <c r="A15" s="11"/>
      <c r="B15" s="28" t="s">
        <v>5</v>
      </c>
      <c r="C15" s="333">
        <f>SUM(C11:C14)</f>
        <v>286026.70265005948</v>
      </c>
      <c r="D15" s="24"/>
      <c r="E15" s="24"/>
      <c r="F15" s="24"/>
      <c r="G15" s="334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7" customHeight="1">
      <c r="A16" s="11"/>
      <c r="B16" s="28"/>
      <c r="C16" s="333"/>
      <c r="D16" s="24"/>
      <c r="E16" s="24"/>
      <c r="F16" s="24"/>
      <c r="G16" s="334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7" customHeight="1">
      <c r="A17" s="284" t="s">
        <v>21</v>
      </c>
      <c r="B17" s="285"/>
      <c r="C17" s="335"/>
      <c r="D17" s="335"/>
      <c r="E17" s="335"/>
      <c r="F17" s="335"/>
      <c r="G17" s="33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7" customHeight="1">
      <c r="A18" s="286"/>
      <c r="B18" s="366"/>
      <c r="C18" s="337"/>
      <c r="D18" s="337"/>
      <c r="E18" s="337"/>
      <c r="F18" s="337"/>
      <c r="G18" s="338"/>
      <c r="H18" s="7"/>
      <c r="I18" s="59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7" customHeight="1">
      <c r="A19" s="288"/>
      <c r="B19" s="367"/>
      <c r="C19" s="290"/>
      <c r="D19" s="290"/>
      <c r="E19" s="290" t="s">
        <v>22</v>
      </c>
      <c r="F19" s="290" t="s">
        <v>23</v>
      </c>
      <c r="G19" s="340" t="s">
        <v>24</v>
      </c>
      <c r="H19" s="10"/>
      <c r="I19" s="1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7" customHeight="1">
      <c r="A20" s="292" t="s">
        <v>25</v>
      </c>
      <c r="B20" s="293"/>
      <c r="C20" s="341"/>
      <c r="D20" s="342"/>
      <c r="E20" s="342"/>
      <c r="F20" s="343"/>
      <c r="G20" s="344"/>
      <c r="H20" s="10"/>
      <c r="I20" s="10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7" customHeight="1">
      <c r="A21" s="297" t="s">
        <v>26</v>
      </c>
      <c r="B21" s="367"/>
      <c r="C21" s="280"/>
      <c r="D21" s="339"/>
      <c r="E21" s="339"/>
      <c r="F21" s="339"/>
      <c r="G21" s="3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7" customHeight="1">
      <c r="A22" s="299" t="s">
        <v>27</v>
      </c>
      <c r="B22" s="368"/>
      <c r="C22" s="280"/>
      <c r="D22" s="281"/>
      <c r="E22" s="322">
        <f>(SUM(uren_mavr)+SUM(uren_naloop))</f>
        <v>6469.5331707255018</v>
      </c>
      <c r="F22" s="346">
        <f>'5-Opbouw uurtarief productie'!E48*(100%+G$8)*(100%+G$9)*(100%+G$10)*(100%+G$11)*(100%+G$12)*(100%+G$13)*(100%+G$14)</f>
        <v>38.997005363366632</v>
      </c>
      <c r="G22" s="347">
        <f>F22*E22</f>
        <v>252292.41975726074</v>
      </c>
      <c r="H22" s="67"/>
      <c r="I22" s="74" t="s">
        <v>28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7" customHeight="1">
      <c r="A23" s="300"/>
      <c r="B23" s="367"/>
      <c r="C23" s="301"/>
      <c r="D23" s="342"/>
      <c r="E23" s="348"/>
      <c r="F23" s="349"/>
      <c r="G23" s="350">
        <f>SUM(G21:G22)</f>
        <v>252292.41975726074</v>
      </c>
      <c r="H23" s="7"/>
      <c r="I23" s="386">
        <f>(G22+G27)/E22</f>
        <v>42.715091700978107</v>
      </c>
      <c r="J23" s="67"/>
      <c r="K23" s="79"/>
      <c r="L23" s="6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7" customHeight="1">
      <c r="A24" s="300"/>
      <c r="B24" s="367"/>
      <c r="C24" s="301"/>
      <c r="D24" s="342"/>
      <c r="E24" s="348"/>
      <c r="F24" s="349"/>
      <c r="G24" s="351"/>
      <c r="H24" s="7"/>
      <c r="I24" s="82"/>
      <c r="J24" s="7"/>
      <c r="K24" s="83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7" customHeight="1">
      <c r="A25" s="292" t="s">
        <v>29</v>
      </c>
      <c r="B25" s="305"/>
      <c r="C25" s="352" t="s">
        <v>30</v>
      </c>
      <c r="D25" s="290" t="s">
        <v>31</v>
      </c>
      <c r="E25" s="290" t="s">
        <v>32</v>
      </c>
      <c r="F25" s="290" t="s">
        <v>23</v>
      </c>
      <c r="G25" s="340" t="s">
        <v>24</v>
      </c>
      <c r="H25" s="85"/>
      <c r="I25" s="85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7" customHeight="1">
      <c r="A26" s="297" t="s">
        <v>33</v>
      </c>
      <c r="B26" s="306"/>
      <c r="C26" s="339"/>
      <c r="D26" s="339"/>
      <c r="E26" s="339"/>
      <c r="F26" s="339"/>
      <c r="G26" s="345"/>
      <c r="H26" s="85"/>
      <c r="I26" s="74" t="s">
        <v>34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7" customHeight="1">
      <c r="A27" s="299" t="s">
        <v>27</v>
      </c>
      <c r="B27" s="368"/>
      <c r="C27" s="322">
        <f>I27/D27</f>
        <v>2</v>
      </c>
      <c r="D27" s="611">
        <v>255</v>
      </c>
      <c r="E27" s="203">
        <f>IF(E22=0,"",I27/E22)</f>
        <v>7.8831035646859185E-2</v>
      </c>
      <c r="F27" s="346">
        <f>'6-Opbouw uurtarief toezicht'!E48*(100%+G$8)*(100%+G$9)*(100%+G$10)*(100%+G$11)*(100%+G$12)*(100%+G$13)*(100%+G$14)</f>
        <v>47.165260574115123</v>
      </c>
      <c r="G27" s="347">
        <f>I27*F27</f>
        <v>24054.282892798714</v>
      </c>
      <c r="H27" s="85"/>
      <c r="I27" s="612">
        <v>510</v>
      </c>
      <c r="J27" s="7"/>
      <c r="K27" s="6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7" customHeight="1">
      <c r="A28" s="308"/>
      <c r="B28" s="369"/>
      <c r="C28" s="310"/>
      <c r="D28" s="353"/>
      <c r="E28" s="312"/>
      <c r="F28" s="354"/>
      <c r="G28" s="355">
        <f>SUM(G27:G27)</f>
        <v>24054.282892798714</v>
      </c>
      <c r="H28" s="85"/>
      <c r="I28" s="91"/>
      <c r="J28" s="7"/>
      <c r="K28" s="90"/>
      <c r="L28" s="88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7" hidden="1" customHeight="1">
      <c r="A29" s="7"/>
      <c r="B29" s="10"/>
      <c r="C29" s="9"/>
      <c r="D29" s="9"/>
      <c r="E29" s="9"/>
      <c r="F29" s="9"/>
      <c r="G29" s="9"/>
      <c r="H29" s="7"/>
      <c r="I29" s="59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7" hidden="1" customHeight="1">
      <c r="A30" s="315"/>
      <c r="B30" s="366"/>
      <c r="C30" s="316"/>
      <c r="D30" s="316"/>
      <c r="E30" s="316" t="s">
        <v>22</v>
      </c>
      <c r="F30" s="316" t="s">
        <v>23</v>
      </c>
      <c r="G30" s="356" t="s">
        <v>24</v>
      </c>
      <c r="H30" s="10"/>
      <c r="I30" s="10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7" hidden="1" customHeight="1">
      <c r="A31" s="292" t="s">
        <v>35</v>
      </c>
      <c r="B31" s="293"/>
      <c r="C31" s="341"/>
      <c r="D31" s="342"/>
      <c r="E31" s="342"/>
      <c r="F31" s="343"/>
      <c r="G31" s="344"/>
      <c r="H31" s="10"/>
      <c r="I31" s="10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7" hidden="1" customHeight="1">
      <c r="A32" s="297" t="s">
        <v>26</v>
      </c>
      <c r="B32" s="367"/>
      <c r="C32" s="280"/>
      <c r="D32" s="307"/>
      <c r="E32" s="307"/>
      <c r="F32" s="346"/>
      <c r="G32" s="345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7" hidden="1" customHeight="1">
      <c r="A33" s="299" t="s">
        <v>36</v>
      </c>
      <c r="B33" s="368"/>
      <c r="C33" s="280"/>
      <c r="D33" s="281"/>
      <c r="E33" s="322">
        <f>(SUM(uren_zazofe))/110*101</f>
        <v>0</v>
      </c>
      <c r="F33" s="346">
        <f>'5-Opbouw uurtarief productie'!E52*(100%+G$8)*(100%+G$9)*(100%+G$10)*(100%+G$11)*(100%+G$12)*(100%+G$13)*(100%+G$14)</f>
        <v>55.265508045049955</v>
      </c>
      <c r="G33" s="357">
        <f>F33*E33</f>
        <v>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7" hidden="1" customHeight="1">
      <c r="A34" s="300"/>
      <c r="B34" s="367"/>
      <c r="C34" s="301"/>
      <c r="D34" s="342"/>
      <c r="E34" s="348"/>
      <c r="F34" s="349"/>
      <c r="G34" s="350">
        <f>SUM(G32:G33)</f>
        <v>0</v>
      </c>
      <c r="H34" s="7"/>
      <c r="I34" s="91"/>
      <c r="J34" s="67"/>
      <c r="K34" s="79"/>
      <c r="L34" s="6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7" hidden="1" customHeight="1">
      <c r="A35" s="288"/>
      <c r="B35" s="367"/>
      <c r="C35" s="301"/>
      <c r="D35" s="342"/>
      <c r="E35" s="348"/>
      <c r="F35" s="349"/>
      <c r="G35" s="351"/>
      <c r="H35" s="7"/>
      <c r="I35" s="82"/>
      <c r="J35" s="7"/>
      <c r="K35" s="83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7" hidden="1" customHeight="1">
      <c r="A36" s="292" t="s">
        <v>37</v>
      </c>
      <c r="B36" s="305"/>
      <c r="C36" s="352" t="s">
        <v>30</v>
      </c>
      <c r="D36" s="290" t="s">
        <v>31</v>
      </c>
      <c r="E36" s="290" t="s">
        <v>32</v>
      </c>
      <c r="F36" s="290" t="s">
        <v>23</v>
      </c>
      <c r="G36" s="340" t="s">
        <v>24</v>
      </c>
      <c r="H36" s="85"/>
      <c r="I36" s="85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7" hidden="1" customHeight="1">
      <c r="A37" s="297" t="s">
        <v>33</v>
      </c>
      <c r="B37" s="319"/>
      <c r="C37" s="358"/>
      <c r="D37" s="307"/>
      <c r="E37" s="307"/>
      <c r="F37" s="346"/>
      <c r="G37" s="345"/>
      <c r="H37" s="85"/>
      <c r="I37" s="74" t="s">
        <v>34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7" hidden="1" customHeight="1">
      <c r="A38" s="299" t="s">
        <v>36</v>
      </c>
      <c r="B38" s="368"/>
      <c r="C38" s="322">
        <f>I38/D38</f>
        <v>0</v>
      </c>
      <c r="D38" s="373">
        <v>52</v>
      </c>
      <c r="E38" s="203" t="str">
        <f>IF(E33=0,"",I38/E33)</f>
        <v/>
      </c>
      <c r="F38" s="346">
        <f>'6-Opbouw uurtarief toezicht'!E52*(100%+G$8)*(100%+G$9)*(100%+G$10)*(100%+G$11)*(100%+G$12)*(100%+G$13)*(100%+G$14)</f>
        <v>66.392890861172702</v>
      </c>
      <c r="G38" s="357">
        <f>I38*F38</f>
        <v>0</v>
      </c>
      <c r="H38" s="85"/>
      <c r="I38" s="205">
        <f>E33*0.08</f>
        <v>0</v>
      </c>
      <c r="J38" s="7"/>
      <c r="K38" s="88"/>
      <c r="L38" s="88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7" hidden="1" customHeight="1">
      <c r="A39" s="308"/>
      <c r="B39" s="369"/>
      <c r="C39" s="310"/>
      <c r="D39" s="353"/>
      <c r="E39" s="321"/>
      <c r="F39" s="354"/>
      <c r="G39" s="355">
        <f>SUM(G37:G38)</f>
        <v>0</v>
      </c>
      <c r="H39" s="85"/>
      <c r="I39" s="91"/>
      <c r="J39" s="7"/>
      <c r="K39" s="90"/>
      <c r="L39" s="88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7" hidden="1" customHeight="1">
      <c r="A40" s="370"/>
      <c r="B40" s="368"/>
      <c r="C40" s="348"/>
      <c r="D40" s="342"/>
      <c r="E40" s="371"/>
      <c r="F40" s="349"/>
      <c r="G40" s="372"/>
      <c r="H40" s="85"/>
      <c r="I40" s="91"/>
      <c r="J40" s="7"/>
      <c r="K40" s="90"/>
      <c r="L40" s="88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7" hidden="1" customHeight="1">
      <c r="A41" s="286"/>
      <c r="B41" s="366"/>
      <c r="C41" s="337"/>
      <c r="D41" s="337"/>
      <c r="E41" s="337"/>
      <c r="F41" s="337"/>
      <c r="G41" s="338"/>
      <c r="H41" s="7"/>
      <c r="I41" s="59"/>
      <c r="J41" s="7"/>
      <c r="K41" s="94"/>
      <c r="L41" s="88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7" hidden="1" customHeight="1">
      <c r="A42" s="288"/>
      <c r="B42" s="367"/>
      <c r="C42" s="290"/>
      <c r="D42" s="290"/>
      <c r="E42" s="290" t="s">
        <v>22</v>
      </c>
      <c r="F42" s="290" t="s">
        <v>23</v>
      </c>
      <c r="G42" s="340" t="s">
        <v>24</v>
      </c>
      <c r="H42" s="10"/>
      <c r="I42" s="10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7" hidden="1" customHeight="1">
      <c r="A43" s="292" t="s">
        <v>38</v>
      </c>
      <c r="B43" s="293"/>
      <c r="C43" s="341"/>
      <c r="D43" s="342"/>
      <c r="E43" s="342"/>
      <c r="F43" s="343"/>
      <c r="G43" s="344"/>
      <c r="H43" s="10"/>
      <c r="I43" s="10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7" hidden="1" customHeight="1">
      <c r="A44" s="297" t="s">
        <v>33</v>
      </c>
      <c r="B44" s="367"/>
      <c r="C44" s="280"/>
      <c r="D44" s="307"/>
      <c r="E44" s="307"/>
      <c r="F44" s="346"/>
      <c r="G44" s="345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7" hidden="1" customHeight="1">
      <c r="A45" s="299" t="s">
        <v>39</v>
      </c>
      <c r="B45" s="368"/>
      <c r="C45" s="280"/>
      <c r="D45" s="281"/>
      <c r="E45" s="322">
        <f>(SUM(uren_zazofe))/110*9</f>
        <v>0</v>
      </c>
      <c r="F45" s="346">
        <f>'5-Opbouw uurtarief productie'!E54*(100%+G$8)*(100%+G$9)*(100%+G$10)*(100%+G$11)*(100%+G$12)*(100%+G$13)*(100%+G$14)</f>
        <v>87.802513408416587</v>
      </c>
      <c r="G45" s="357">
        <f>F45*E45</f>
        <v>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7" hidden="1" customHeight="1">
      <c r="A46" s="300"/>
      <c r="B46" s="367"/>
      <c r="C46" s="301"/>
      <c r="D46" s="342"/>
      <c r="E46" s="348"/>
      <c r="F46" s="349"/>
      <c r="G46" s="350">
        <f>SUM(G44:G45)</f>
        <v>0</v>
      </c>
      <c r="H46" s="7"/>
      <c r="I46" s="91"/>
      <c r="J46" s="67"/>
      <c r="K46" s="79"/>
      <c r="L46" s="6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7" hidden="1" customHeight="1">
      <c r="A47" s="300"/>
      <c r="B47" s="367"/>
      <c r="C47" s="301"/>
      <c r="D47" s="342"/>
      <c r="E47" s="348"/>
      <c r="F47" s="349"/>
      <c r="G47" s="351"/>
      <c r="H47" s="7"/>
      <c r="I47" s="82"/>
      <c r="J47" s="7"/>
      <c r="K47" s="83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7" hidden="1" customHeight="1">
      <c r="A48" s="292" t="s">
        <v>40</v>
      </c>
      <c r="B48" s="305"/>
      <c r="C48" s="352" t="s">
        <v>30</v>
      </c>
      <c r="D48" s="290" t="s">
        <v>31</v>
      </c>
      <c r="E48" s="290" t="s">
        <v>32</v>
      </c>
      <c r="F48" s="290" t="s">
        <v>23</v>
      </c>
      <c r="G48" s="340" t="s">
        <v>24</v>
      </c>
      <c r="H48" s="85"/>
      <c r="I48" s="85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7" hidden="1" customHeight="1">
      <c r="A49" s="297" t="s">
        <v>33</v>
      </c>
      <c r="B49" s="319"/>
      <c r="C49" s="358"/>
      <c r="D49" s="307"/>
      <c r="E49" s="307"/>
      <c r="F49" s="346"/>
      <c r="G49" s="345"/>
      <c r="H49" s="85"/>
      <c r="I49" s="74" t="s">
        <v>34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7" hidden="1" customHeight="1">
      <c r="A50" s="299" t="s">
        <v>39</v>
      </c>
      <c r="B50" s="368"/>
      <c r="C50" s="322">
        <f>I50/D50</f>
        <v>0</v>
      </c>
      <c r="D50" s="373">
        <v>4.5</v>
      </c>
      <c r="E50" s="203" t="str">
        <f>IF(E45=0,"",I50/E45)</f>
        <v/>
      </c>
      <c r="F50" s="346">
        <f>'6-Opbouw uurtarief toezicht'!E54*(100%+G$8)*(100%+G$9)*(100%+G$10)*(100%+G$11)*(100%+G$12)*(100%+G$13)*(100%+G$14)</f>
        <v>104.84815143528783</v>
      </c>
      <c r="G50" s="357">
        <f>I50*F50</f>
        <v>0</v>
      </c>
      <c r="H50" s="85"/>
      <c r="I50" s="205">
        <f>E45*0.08</f>
        <v>0</v>
      </c>
      <c r="J50" s="7"/>
      <c r="K50" s="88"/>
      <c r="L50" s="88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7" hidden="1" customHeight="1">
      <c r="A51" s="308"/>
      <c r="B51" s="369"/>
      <c r="C51" s="310"/>
      <c r="D51" s="353"/>
      <c r="E51" s="321"/>
      <c r="F51" s="354"/>
      <c r="G51" s="355">
        <f>SUM(G49:G50)</f>
        <v>0</v>
      </c>
      <c r="H51" s="85"/>
      <c r="I51" s="91"/>
      <c r="J51" s="7"/>
      <c r="K51" s="90"/>
      <c r="L51" s="88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7" customHeight="1">
      <c r="A52" s="75"/>
      <c r="B52" s="85"/>
      <c r="C52" s="362"/>
      <c r="D52" s="362"/>
      <c r="E52" s="362"/>
      <c r="F52" s="124"/>
      <c r="G52" s="362"/>
      <c r="H52" s="85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7" customHeight="1">
      <c r="A53" s="75" t="s">
        <v>41</v>
      </c>
      <c r="B53" s="85"/>
      <c r="C53" s="362"/>
      <c r="D53" s="362"/>
      <c r="E53" s="362"/>
      <c r="F53" s="124"/>
      <c r="G53" s="359">
        <f>'7-Machine-investeringskosten'!D112</f>
        <v>9680</v>
      </c>
      <c r="H53" s="85"/>
      <c r="I53" s="78" t="s">
        <v>42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7" customHeight="1">
      <c r="A54" s="75"/>
      <c r="B54" s="85"/>
      <c r="C54" s="362"/>
      <c r="D54" s="362"/>
      <c r="E54" s="362"/>
      <c r="F54" s="124"/>
      <c r="G54" s="359"/>
      <c r="H54" s="85"/>
      <c r="I54" s="78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7" customHeight="1">
      <c r="A55" s="75"/>
      <c r="B55" s="85"/>
      <c r="C55" s="362"/>
      <c r="D55" s="362"/>
      <c r="E55" s="362"/>
      <c r="F55" s="124"/>
      <c r="G55" s="362"/>
      <c r="H55" s="85"/>
      <c r="I55" s="85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7" customHeight="1">
      <c r="A56" s="95" t="s">
        <v>43</v>
      </c>
      <c r="B56" s="10"/>
      <c r="C56" s="9"/>
      <c r="D56" s="9"/>
      <c r="E56" s="9"/>
      <c r="F56" s="9"/>
      <c r="G56" s="361">
        <f>G23+G28+G53+G34+G39+G46+G51</f>
        <v>286026.70265005948</v>
      </c>
      <c r="H56" s="85"/>
      <c r="I56" s="78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7" customHeight="1">
      <c r="A57" s="96" t="s">
        <v>44</v>
      </c>
      <c r="B57" s="10"/>
      <c r="C57" s="9"/>
      <c r="D57" s="9"/>
      <c r="E57" s="9"/>
      <c r="F57" s="70">
        <v>0.21</v>
      </c>
      <c r="G57" s="360">
        <f>F57*G56</f>
        <v>60065.607556512492</v>
      </c>
      <c r="H57" s="85"/>
      <c r="I57" s="85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7" customHeight="1">
      <c r="A58" s="96" t="s">
        <v>45</v>
      </c>
      <c r="B58" s="10"/>
      <c r="C58" s="9"/>
      <c r="D58" s="9"/>
      <c r="E58" s="9"/>
      <c r="F58" s="9" t="s">
        <v>46</v>
      </c>
      <c r="G58" s="359">
        <f>G57+G56</f>
        <v>346092.31020657194</v>
      </c>
      <c r="H58" s="85"/>
      <c r="I58" s="85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7" customHeight="1">
      <c r="A59" s="96"/>
      <c r="B59" s="10"/>
      <c r="C59" s="9"/>
      <c r="D59" s="9"/>
      <c r="E59" s="9"/>
      <c r="F59" s="9"/>
      <c r="G59" s="359"/>
      <c r="H59" s="85"/>
      <c r="I59" s="85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7" customHeight="1">
      <c r="A60" s="75" t="s">
        <v>47</v>
      </c>
      <c r="B60" s="85"/>
      <c r="C60" s="362"/>
      <c r="D60" s="362"/>
      <c r="E60" s="362"/>
      <c r="F60" s="124"/>
      <c r="G60" s="361">
        <f>'9-Additionele kosten'!F50</f>
        <v>12246.346969274335</v>
      </c>
      <c r="H60" s="85"/>
      <c r="I60" s="78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7" customHeight="1">
      <c r="A61" s="96" t="s">
        <v>44</v>
      </c>
      <c r="B61" s="10"/>
      <c r="C61" s="9"/>
      <c r="D61" s="9"/>
      <c r="E61" s="9"/>
      <c r="F61" s="70">
        <v>0.21</v>
      </c>
      <c r="G61" s="360">
        <f>F61*G60</f>
        <v>2571.7328635476101</v>
      </c>
      <c r="H61" s="85"/>
      <c r="I61" s="85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7" customHeight="1">
      <c r="A62" s="96" t="s">
        <v>45</v>
      </c>
      <c r="B62" s="10"/>
      <c r="C62" s="9"/>
      <c r="D62" s="9"/>
      <c r="E62" s="9"/>
      <c r="F62" s="9" t="s">
        <v>46</v>
      </c>
      <c r="G62" s="359">
        <f>G61+G60</f>
        <v>14818.079832821944</v>
      </c>
      <c r="H62" s="85"/>
      <c r="I62" s="85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7" customHeight="1">
      <c r="A63" s="75"/>
      <c r="B63" s="85"/>
      <c r="C63" s="362"/>
      <c r="D63" s="362"/>
      <c r="E63" s="362"/>
      <c r="F63" s="362"/>
      <c r="G63" s="359"/>
      <c r="H63" s="85"/>
      <c r="I63" s="85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7" customHeight="1">
      <c r="A64" s="98" t="s">
        <v>48</v>
      </c>
      <c r="B64" s="500"/>
      <c r="C64" s="501"/>
      <c r="D64" s="501"/>
      <c r="E64" s="501"/>
      <c r="F64" s="501"/>
      <c r="G64" s="363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7" customHeight="1">
      <c r="A65" s="75"/>
      <c r="B65" s="85"/>
      <c r="C65" s="362"/>
      <c r="D65" s="362"/>
      <c r="E65" s="362"/>
      <c r="F65" s="362"/>
      <c r="G65" s="362"/>
      <c r="H65" s="85"/>
      <c r="I65" s="85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7" customHeight="1">
      <c r="A66" s="100"/>
      <c r="B66" s="502"/>
      <c r="C66" s="101"/>
      <c r="D66" s="101"/>
      <c r="E66" s="101"/>
      <c r="F66" s="101"/>
      <c r="G66" s="101" t="s">
        <v>24</v>
      </c>
      <c r="H66" s="7"/>
      <c r="I66" s="111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7" customHeight="1">
      <c r="A67" s="103" t="s">
        <v>49</v>
      </c>
      <c r="B67" s="87"/>
      <c r="C67" s="9"/>
      <c r="D67" s="364"/>
      <c r="E67" s="359"/>
      <c r="F67" s="359"/>
      <c r="G67" s="161">
        <f>'8-Glasbewassing'!E45</f>
        <v>0</v>
      </c>
      <c r="H67" s="85"/>
      <c r="I67" s="111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7" customHeight="1">
      <c r="A68" s="103" t="s">
        <v>50</v>
      </c>
      <c r="B68" s="87"/>
      <c r="C68" s="9"/>
      <c r="D68" s="364"/>
      <c r="E68" s="359"/>
      <c r="F68" s="359"/>
      <c r="G68" s="161">
        <f>'8-Glasbewassing'!J45</f>
        <v>0</v>
      </c>
      <c r="H68" s="85"/>
      <c r="I68" s="111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7" customHeight="1">
      <c r="A69" s="103" t="s">
        <v>51</v>
      </c>
      <c r="B69" s="87"/>
      <c r="C69" s="9"/>
      <c r="D69" s="364"/>
      <c r="E69" s="359"/>
      <c r="F69" s="359"/>
      <c r="G69" s="161">
        <f>'8-Glasbewassing'!O45</f>
        <v>0</v>
      </c>
      <c r="H69" s="85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7" customHeight="1">
      <c r="A70" s="103" t="s">
        <v>52</v>
      </c>
      <c r="B70" s="87"/>
      <c r="C70" s="9"/>
      <c r="D70" s="364"/>
      <c r="E70" s="359"/>
      <c r="F70" s="359"/>
      <c r="G70" s="161">
        <f>'8-Glasbewassing'!T45</f>
        <v>0</v>
      </c>
      <c r="H70" s="85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7" customHeight="1">
      <c r="A71" s="103"/>
      <c r="B71" s="87"/>
      <c r="C71" s="9"/>
      <c r="D71" s="364"/>
      <c r="E71" s="359"/>
      <c r="F71" s="359"/>
      <c r="G71" s="161"/>
      <c r="H71" s="85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7" customHeight="1">
      <c r="A72" s="75" t="s">
        <v>53</v>
      </c>
      <c r="B72" s="502"/>
      <c r="C72" s="107"/>
      <c r="D72" s="107"/>
      <c r="E72" s="107"/>
      <c r="F72" s="107"/>
      <c r="G72" s="107" t="s">
        <v>24</v>
      </c>
      <c r="H72" s="82"/>
      <c r="I72" s="85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7" customHeight="1">
      <c r="A73" s="75"/>
      <c r="B73" s="502"/>
      <c r="C73" s="107"/>
      <c r="D73" s="107"/>
      <c r="E73" s="107"/>
      <c r="F73" s="107"/>
      <c r="G73" s="107"/>
      <c r="H73" s="82"/>
      <c r="I73" s="85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7" customHeight="1">
      <c r="A74" s="96" t="s">
        <v>54</v>
      </c>
      <c r="B74" s="502"/>
      <c r="C74" s="9"/>
      <c r="D74" s="109"/>
      <c r="E74" s="37"/>
      <c r="F74" s="359"/>
      <c r="G74" s="365">
        <f>'8-Glasbewassing'!Y45*(100%+G$8)</f>
        <v>0</v>
      </c>
      <c r="H74" s="110"/>
      <c r="I74" s="85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7" customHeight="1">
      <c r="A75" s="96"/>
      <c r="B75" s="10"/>
      <c r="C75" s="9"/>
      <c r="D75" s="9"/>
      <c r="E75" s="112"/>
      <c r="F75" s="112"/>
      <c r="G75" s="112"/>
      <c r="H75" s="112"/>
      <c r="I75" s="85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7" customHeight="1">
      <c r="A76" s="95" t="s">
        <v>43</v>
      </c>
      <c r="B76" s="10"/>
      <c r="C76" s="9"/>
      <c r="D76" s="9"/>
      <c r="E76" s="1"/>
      <c r="F76" s="9"/>
      <c r="G76" s="361">
        <f>SUM(G67:G74)</f>
        <v>0</v>
      </c>
      <c r="H76" s="7"/>
      <c r="I76" s="85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7" customHeight="1">
      <c r="A77" s="96" t="s">
        <v>44</v>
      </c>
      <c r="B77" s="10"/>
      <c r="C77" s="9"/>
      <c r="D77" s="9"/>
      <c r="E77" s="9"/>
      <c r="F77" s="70">
        <v>0.21</v>
      </c>
      <c r="G77" s="360">
        <f>F77*G76</f>
        <v>0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7" customHeight="1">
      <c r="A78" s="96" t="s">
        <v>45</v>
      </c>
      <c r="B78" s="10"/>
      <c r="C78" s="9"/>
      <c r="D78" s="9"/>
      <c r="E78" s="9"/>
      <c r="F78" s="9" t="s">
        <v>46</v>
      </c>
      <c r="G78" s="359">
        <f>G77+G76</f>
        <v>0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7" customHeight="1">
      <c r="A79" s="7"/>
      <c r="B79" s="10"/>
      <c r="C79" s="9"/>
      <c r="D79" s="9"/>
      <c r="E79" s="9"/>
      <c r="F79" s="9"/>
      <c r="G79" s="359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7" customHeight="1">
      <c r="A80" s="96"/>
      <c r="B80" s="10"/>
      <c r="C80" s="9"/>
      <c r="D80" s="9"/>
      <c r="E80" s="9"/>
      <c r="F80" s="9"/>
      <c r="G80" s="9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7" customHeight="1">
      <c r="A81" s="96"/>
      <c r="B81" s="10"/>
      <c r="C81" s="9"/>
      <c r="D81" s="9"/>
      <c r="E81" s="9"/>
      <c r="F81" s="9"/>
      <c r="G81" s="9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7" customHeight="1">
      <c r="A82" s="96"/>
      <c r="B82" s="10"/>
      <c r="C82" s="9"/>
      <c r="D82" s="9"/>
      <c r="E82" s="9"/>
      <c r="F82" s="9"/>
      <c r="G82" s="9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7" customHeight="1">
      <c r="A83" s="96"/>
      <c r="B83" s="10"/>
      <c r="C83" s="9"/>
      <c r="D83" s="9"/>
      <c r="E83" s="9"/>
      <c r="F83" s="9"/>
      <c r="G83" s="9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7" customHeight="1">
      <c r="A84" s="7"/>
      <c r="B84" s="10"/>
      <c r="C84" s="9"/>
      <c r="D84" s="9"/>
      <c r="E84" s="9"/>
      <c r="F84" s="9"/>
      <c r="G84" s="9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7" customHeight="1">
      <c r="A85" s="7"/>
      <c r="B85" s="10"/>
      <c r="C85" s="9"/>
      <c r="D85" s="9"/>
      <c r="E85" s="9"/>
      <c r="F85" s="9"/>
      <c r="G85" s="9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7" customHeight="1">
      <c r="A86" s="7"/>
      <c r="B86" s="10"/>
      <c r="C86" s="9"/>
      <c r="D86" s="9"/>
      <c r="E86" s="9"/>
      <c r="F86" s="9"/>
      <c r="G86" s="9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7" customHeight="1">
      <c r="A87" s="7"/>
      <c r="B87" s="10"/>
      <c r="C87" s="9"/>
      <c r="D87" s="9"/>
      <c r="E87" s="9"/>
      <c r="F87" s="9"/>
      <c r="G87" s="9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7" customHeight="1">
      <c r="A88" s="7"/>
      <c r="B88" s="10"/>
      <c r="C88" s="9"/>
      <c r="D88" s="9"/>
      <c r="E88" s="9"/>
      <c r="F88" s="9"/>
      <c r="G88" s="9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7" customHeight="1">
      <c r="A89" s="7"/>
      <c r="B89" s="10"/>
      <c r="C89" s="9"/>
      <c r="D89" s="9"/>
      <c r="E89" s="9"/>
      <c r="F89" s="9"/>
      <c r="G89" s="9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7" customHeight="1">
      <c r="A90" s="7"/>
      <c r="B90" s="10"/>
      <c r="C90" s="9"/>
      <c r="D90" s="9"/>
      <c r="E90" s="9"/>
      <c r="F90" s="9"/>
      <c r="G90" s="9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7" customHeight="1">
      <c r="A91" s="7"/>
      <c r="B91" s="10"/>
      <c r="C91" s="9"/>
      <c r="D91" s="9"/>
      <c r="E91" s="9"/>
      <c r="F91" s="9"/>
      <c r="G91" s="9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7" customHeight="1">
      <c r="A92" s="7"/>
      <c r="B92" s="10"/>
      <c r="C92" s="9"/>
      <c r="D92" s="9"/>
      <c r="E92" s="9"/>
      <c r="F92" s="9"/>
      <c r="G92" s="9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7" customHeight="1">
      <c r="A93" s="7"/>
      <c r="B93" s="10"/>
      <c r="C93" s="9"/>
      <c r="D93" s="9"/>
      <c r="E93" s="9"/>
      <c r="F93" s="9"/>
      <c r="G93" s="9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7" customHeight="1">
      <c r="A94" s="7"/>
      <c r="B94" s="10"/>
      <c r="C94" s="9"/>
      <c r="D94" s="9"/>
      <c r="E94" s="9"/>
      <c r="F94" s="9"/>
      <c r="G94" s="9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7" customHeight="1">
      <c r="A95" s="7"/>
      <c r="B95" s="10"/>
      <c r="C95" s="9"/>
      <c r="D95" s="9"/>
      <c r="E95" s="9"/>
      <c r="F95" s="9"/>
      <c r="G95" s="9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7" customHeight="1">
      <c r="A96" s="7"/>
      <c r="B96" s="10"/>
      <c r="C96" s="9"/>
      <c r="D96" s="9"/>
      <c r="E96" s="9"/>
      <c r="F96" s="9"/>
      <c r="G96" s="9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7" customHeight="1">
      <c r="A97" s="7"/>
      <c r="B97" s="10"/>
      <c r="C97" s="9"/>
      <c r="D97" s="9"/>
      <c r="E97" s="9"/>
      <c r="F97" s="9"/>
      <c r="G97" s="9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7" customHeight="1">
      <c r="A98" s="7"/>
      <c r="B98" s="10"/>
      <c r="C98" s="9"/>
      <c r="D98" s="9"/>
      <c r="E98" s="9"/>
      <c r="F98" s="9"/>
      <c r="G98" s="9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7" customHeight="1">
      <c r="A99" s="7"/>
      <c r="B99" s="10"/>
      <c r="C99" s="9"/>
      <c r="D99" s="9"/>
      <c r="E99" s="9"/>
      <c r="F99" s="9"/>
      <c r="G99" s="9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7" customHeight="1">
      <c r="A100" s="7"/>
      <c r="B100" s="10"/>
      <c r="C100" s="9"/>
      <c r="D100" s="9"/>
      <c r="E100" s="9"/>
      <c r="F100" s="9"/>
      <c r="G100" s="9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7" customHeight="1">
      <c r="A101" s="7"/>
      <c r="B101" s="10"/>
      <c r="C101" s="9"/>
      <c r="D101" s="9"/>
      <c r="E101" s="9"/>
      <c r="F101" s="9"/>
      <c r="G101" s="9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7" customHeight="1">
      <c r="A102" s="7"/>
      <c r="B102" s="10"/>
      <c r="C102" s="9"/>
      <c r="D102" s="9"/>
      <c r="E102" s="9"/>
      <c r="F102" s="9"/>
      <c r="G102" s="9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7" customHeight="1">
      <c r="A103" s="7"/>
      <c r="B103" s="10"/>
      <c r="C103" s="9"/>
      <c r="D103" s="9"/>
      <c r="E103" s="9"/>
      <c r="F103" s="9"/>
      <c r="G103" s="9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7" customHeight="1">
      <c r="A104" s="7"/>
      <c r="B104" s="10"/>
      <c r="C104" s="9"/>
      <c r="D104" s="9"/>
      <c r="E104" s="9"/>
      <c r="F104" s="9"/>
      <c r="G104" s="9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7" customHeight="1">
      <c r="A105" s="7"/>
      <c r="B105" s="10"/>
      <c r="C105" s="9"/>
      <c r="D105" s="9"/>
      <c r="E105" s="9"/>
      <c r="F105" s="9"/>
      <c r="G105" s="9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7" customHeight="1">
      <c r="A106" s="7"/>
      <c r="B106" s="10"/>
      <c r="C106" s="9"/>
      <c r="D106" s="9"/>
      <c r="E106" s="9"/>
      <c r="F106" s="9"/>
      <c r="G106" s="9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7" customHeight="1">
      <c r="A107" s="7"/>
      <c r="B107" s="10"/>
      <c r="C107" s="9"/>
      <c r="D107" s="9"/>
      <c r="E107" s="9"/>
      <c r="F107" s="9"/>
      <c r="G107" s="9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7" customHeight="1">
      <c r="A108" s="7"/>
      <c r="B108" s="10"/>
      <c r="C108" s="9"/>
      <c r="D108" s="9"/>
      <c r="E108" s="9"/>
      <c r="F108" s="9"/>
      <c r="G108" s="9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7" customHeight="1">
      <c r="A109" s="7"/>
      <c r="B109" s="10"/>
      <c r="C109" s="9"/>
      <c r="D109" s="9"/>
      <c r="E109" s="9"/>
      <c r="F109" s="9"/>
      <c r="G109" s="9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7" customHeight="1">
      <c r="A110" s="7"/>
      <c r="B110" s="10"/>
      <c r="C110" s="9"/>
      <c r="D110" s="9"/>
      <c r="E110" s="9"/>
      <c r="F110" s="9"/>
      <c r="G110" s="9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7" customHeight="1">
      <c r="A111" s="7"/>
      <c r="B111" s="10"/>
      <c r="C111" s="9"/>
      <c r="D111" s="9"/>
      <c r="E111" s="9"/>
      <c r="F111" s="9"/>
      <c r="G111" s="9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7" customHeight="1">
      <c r="A112" s="7"/>
      <c r="B112" s="10"/>
      <c r="C112" s="9"/>
      <c r="D112" s="9"/>
      <c r="E112" s="9"/>
      <c r="F112" s="9"/>
      <c r="G112" s="9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7" customHeight="1">
      <c r="A113" s="7"/>
      <c r="B113" s="10"/>
      <c r="C113" s="9"/>
      <c r="D113" s="9"/>
      <c r="E113" s="9"/>
      <c r="F113" s="9"/>
      <c r="G113" s="9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7" customHeight="1">
      <c r="A114" s="7"/>
      <c r="B114" s="10"/>
      <c r="C114" s="9"/>
      <c r="D114" s="9"/>
      <c r="E114" s="9"/>
      <c r="F114" s="9"/>
      <c r="G114" s="9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7" customHeight="1">
      <c r="A115" s="7"/>
      <c r="B115" s="10"/>
      <c r="C115" s="9"/>
      <c r="D115" s="9"/>
      <c r="E115" s="9"/>
      <c r="F115" s="9"/>
      <c r="G115" s="9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7" customHeight="1">
      <c r="A116" s="7"/>
      <c r="B116" s="10"/>
      <c r="C116" s="9"/>
      <c r="D116" s="9"/>
      <c r="E116" s="9"/>
      <c r="F116" s="9"/>
      <c r="G116" s="9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7" customHeight="1">
      <c r="A117" s="7"/>
      <c r="B117" s="10"/>
      <c r="C117" s="9"/>
      <c r="D117" s="9"/>
      <c r="E117" s="9"/>
      <c r="F117" s="9"/>
      <c r="G117" s="9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7" customHeight="1">
      <c r="A118" s="7"/>
      <c r="B118" s="10"/>
      <c r="C118" s="9"/>
      <c r="D118" s="9"/>
      <c r="E118" s="9"/>
      <c r="F118" s="9"/>
      <c r="G118" s="9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7" customHeight="1">
      <c r="A119" s="7"/>
      <c r="B119" s="10"/>
      <c r="C119" s="9"/>
      <c r="D119" s="9"/>
      <c r="E119" s="9"/>
      <c r="F119" s="9"/>
      <c r="G119" s="9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7" customHeight="1">
      <c r="A120" s="7"/>
      <c r="B120" s="10"/>
      <c r="C120" s="9"/>
      <c r="D120" s="9"/>
      <c r="E120" s="9"/>
      <c r="F120" s="9"/>
      <c r="G120" s="9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7" customHeight="1">
      <c r="A121" s="7"/>
      <c r="B121" s="10"/>
      <c r="C121" s="9"/>
      <c r="D121" s="9"/>
      <c r="E121" s="9"/>
      <c r="F121" s="9"/>
      <c r="G121" s="9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7" customHeight="1">
      <c r="A122" s="7"/>
      <c r="B122" s="10"/>
      <c r="C122" s="9"/>
      <c r="D122" s="9"/>
      <c r="E122" s="9"/>
      <c r="F122" s="9"/>
      <c r="G122" s="9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7" customHeight="1">
      <c r="A123" s="7"/>
      <c r="B123" s="10"/>
      <c r="C123" s="9"/>
      <c r="D123" s="9"/>
      <c r="E123" s="9"/>
      <c r="F123" s="9"/>
      <c r="G123" s="9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7" customHeight="1">
      <c r="A124" s="7"/>
      <c r="B124" s="10"/>
      <c r="C124" s="9"/>
      <c r="D124" s="9"/>
      <c r="E124" s="9"/>
      <c r="F124" s="9"/>
      <c r="G124" s="9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7" customHeight="1">
      <c r="A125" s="7"/>
      <c r="B125" s="10"/>
      <c r="C125" s="9"/>
      <c r="D125" s="9"/>
      <c r="E125" s="9"/>
      <c r="F125" s="9"/>
      <c r="G125" s="9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7" customHeight="1">
      <c r="A126" s="7"/>
      <c r="B126" s="10"/>
      <c r="C126" s="9"/>
      <c r="D126" s="9"/>
      <c r="E126" s="9"/>
      <c r="F126" s="9"/>
      <c r="G126" s="9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7" customHeight="1">
      <c r="A127" s="7"/>
      <c r="B127" s="10"/>
      <c r="C127" s="9"/>
      <c r="D127" s="9"/>
      <c r="E127" s="9"/>
      <c r="F127" s="9"/>
      <c r="G127" s="9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7" customHeight="1">
      <c r="A128" s="7"/>
      <c r="B128" s="10"/>
      <c r="C128" s="9"/>
      <c r="D128" s="9"/>
      <c r="E128" s="9"/>
      <c r="F128" s="9"/>
      <c r="G128" s="9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7" customHeight="1">
      <c r="A129" s="7"/>
      <c r="B129" s="10"/>
      <c r="C129" s="9"/>
      <c r="D129" s="9"/>
      <c r="E129" s="9"/>
      <c r="F129" s="9"/>
      <c r="G129" s="9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7" customHeight="1">
      <c r="A130" s="7"/>
      <c r="B130" s="10"/>
      <c r="C130" s="9"/>
      <c r="D130" s="9"/>
      <c r="E130" s="9"/>
      <c r="F130" s="9"/>
      <c r="G130" s="9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7" customHeight="1">
      <c r="A131" s="7"/>
      <c r="B131" s="10"/>
      <c r="C131" s="9"/>
      <c r="D131" s="9"/>
      <c r="E131" s="9"/>
      <c r="F131" s="9"/>
      <c r="G131" s="9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7" customHeight="1">
      <c r="A132" s="7"/>
      <c r="B132" s="10"/>
      <c r="C132" s="9"/>
      <c r="D132" s="9"/>
      <c r="E132" s="9"/>
      <c r="F132" s="9"/>
      <c r="G132" s="9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7" customHeight="1">
      <c r="A133" s="7"/>
      <c r="B133" s="10"/>
      <c r="C133" s="9"/>
      <c r="D133" s="9"/>
      <c r="E133" s="9"/>
      <c r="F133" s="9"/>
      <c r="G133" s="9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7" customHeight="1">
      <c r="A134" s="7"/>
      <c r="B134" s="10"/>
      <c r="C134" s="9"/>
      <c r="D134" s="9"/>
      <c r="E134" s="9"/>
      <c r="F134" s="9"/>
      <c r="G134" s="9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7" customHeight="1">
      <c r="A135" s="7"/>
      <c r="B135" s="10"/>
      <c r="C135" s="9"/>
      <c r="D135" s="9"/>
      <c r="E135" s="9"/>
      <c r="F135" s="9"/>
      <c r="G135" s="9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7" customHeight="1">
      <c r="A136" s="7"/>
      <c r="B136" s="10"/>
      <c r="C136" s="9"/>
      <c r="D136" s="9"/>
      <c r="E136" s="9"/>
      <c r="F136" s="9"/>
      <c r="G136" s="9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7" customHeight="1">
      <c r="A137" s="7"/>
      <c r="B137" s="10"/>
      <c r="C137" s="9"/>
      <c r="D137" s="9"/>
      <c r="E137" s="9"/>
      <c r="F137" s="9"/>
      <c r="G137" s="9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7" customHeight="1">
      <c r="A138" s="7"/>
      <c r="B138" s="10"/>
      <c r="C138" s="9"/>
      <c r="D138" s="9"/>
      <c r="E138" s="9"/>
      <c r="F138" s="9"/>
      <c r="G138" s="9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7" customHeight="1">
      <c r="A139" s="7"/>
      <c r="B139" s="10"/>
      <c r="C139" s="9"/>
      <c r="D139" s="9"/>
      <c r="E139" s="9"/>
      <c r="F139" s="9"/>
      <c r="G139" s="9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7" customHeight="1">
      <c r="A140" s="7"/>
      <c r="B140" s="10"/>
      <c r="C140" s="9"/>
      <c r="D140" s="9"/>
      <c r="E140" s="9"/>
      <c r="F140" s="9"/>
      <c r="G140" s="9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7" customHeight="1">
      <c r="A141" s="7"/>
      <c r="B141" s="10"/>
      <c r="C141" s="9"/>
      <c r="D141" s="9"/>
      <c r="E141" s="9"/>
      <c r="F141" s="9"/>
      <c r="G141" s="9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7" customHeight="1">
      <c r="A142" s="7"/>
      <c r="B142" s="10"/>
      <c r="C142" s="9"/>
      <c r="D142" s="9"/>
      <c r="E142" s="9"/>
      <c r="F142" s="9"/>
      <c r="G142" s="9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7" customHeight="1">
      <c r="A143" s="7"/>
      <c r="B143" s="10"/>
      <c r="C143" s="9"/>
      <c r="D143" s="9"/>
      <c r="E143" s="9"/>
      <c r="F143" s="9"/>
      <c r="G143" s="9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7" customHeight="1">
      <c r="A144" s="7"/>
      <c r="B144" s="10"/>
      <c r="C144" s="9"/>
      <c r="D144" s="9"/>
      <c r="E144" s="9"/>
      <c r="F144" s="9"/>
      <c r="G144" s="9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7" customHeight="1">
      <c r="A145" s="7"/>
      <c r="B145" s="10"/>
      <c r="C145" s="9"/>
      <c r="D145" s="9"/>
      <c r="E145" s="9"/>
      <c r="F145" s="9"/>
      <c r="G145" s="9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7" customHeight="1">
      <c r="A146" s="7"/>
      <c r="B146" s="10"/>
      <c r="C146" s="9"/>
      <c r="D146" s="9"/>
      <c r="E146" s="9"/>
      <c r="F146" s="9"/>
      <c r="G146" s="9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7" customHeight="1">
      <c r="A147" s="7"/>
      <c r="B147" s="10"/>
      <c r="C147" s="9"/>
      <c r="D147" s="9"/>
      <c r="E147" s="9"/>
      <c r="F147" s="9"/>
      <c r="G147" s="9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7" customHeight="1">
      <c r="A148" s="7"/>
      <c r="B148" s="10"/>
      <c r="C148" s="9"/>
      <c r="D148" s="9"/>
      <c r="E148" s="9"/>
      <c r="F148" s="9"/>
      <c r="G148" s="9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7" customHeight="1">
      <c r="A149" s="7"/>
      <c r="B149" s="10"/>
      <c r="C149" s="9"/>
      <c r="D149" s="9"/>
      <c r="E149" s="9"/>
      <c r="F149" s="9"/>
      <c r="G149" s="9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7" customHeight="1">
      <c r="A150" s="7"/>
      <c r="B150" s="10"/>
      <c r="C150" s="9"/>
      <c r="D150" s="9"/>
      <c r="E150" s="9"/>
      <c r="F150" s="9"/>
      <c r="G150" s="9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7" customHeight="1">
      <c r="A151" s="7"/>
      <c r="B151" s="10"/>
      <c r="C151" s="9"/>
      <c r="D151" s="9"/>
      <c r="E151" s="9"/>
      <c r="F151" s="9"/>
      <c r="G151" s="9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7" customHeight="1">
      <c r="A152" s="7"/>
      <c r="B152" s="10"/>
      <c r="C152" s="9"/>
      <c r="D152" s="9"/>
      <c r="E152" s="9"/>
      <c r="F152" s="9"/>
      <c r="G152" s="9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7" customHeight="1">
      <c r="A153" s="7"/>
      <c r="B153" s="10"/>
      <c r="C153" s="9"/>
      <c r="D153" s="9"/>
      <c r="E153" s="9"/>
      <c r="F153" s="9"/>
      <c r="G153" s="9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7" customHeight="1">
      <c r="A154" s="7"/>
      <c r="B154" s="10"/>
      <c r="C154" s="9"/>
      <c r="D154" s="9"/>
      <c r="E154" s="9"/>
      <c r="F154" s="9"/>
      <c r="G154" s="9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7" customHeight="1">
      <c r="A155" s="7"/>
      <c r="B155" s="10"/>
      <c r="C155" s="9"/>
      <c r="D155" s="9"/>
      <c r="E155" s="9"/>
      <c r="F155" s="9"/>
      <c r="G155" s="9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7" customHeight="1">
      <c r="A156" s="7"/>
      <c r="B156" s="10"/>
      <c r="C156" s="9"/>
      <c r="D156" s="9"/>
      <c r="E156" s="9"/>
      <c r="F156" s="9"/>
      <c r="G156" s="9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7" customHeight="1">
      <c r="A157" s="7"/>
      <c r="B157" s="10"/>
      <c r="C157" s="9"/>
      <c r="D157" s="9"/>
      <c r="E157" s="9"/>
      <c r="F157" s="9"/>
      <c r="G157" s="9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7" customHeight="1">
      <c r="A158" s="7"/>
      <c r="B158" s="10"/>
      <c r="C158" s="9"/>
      <c r="D158" s="9"/>
      <c r="E158" s="9"/>
      <c r="F158" s="9"/>
      <c r="G158" s="9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7" customHeight="1">
      <c r="A159" s="7"/>
      <c r="B159" s="10"/>
      <c r="C159" s="9"/>
      <c r="D159" s="9"/>
      <c r="E159" s="9"/>
      <c r="F159" s="9"/>
      <c r="G159" s="9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7" customHeight="1">
      <c r="A160" s="7"/>
      <c r="B160" s="10"/>
      <c r="C160" s="9"/>
      <c r="D160" s="9"/>
      <c r="E160" s="9"/>
      <c r="F160" s="9"/>
      <c r="G160" s="9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7" customHeight="1">
      <c r="A161" s="7"/>
      <c r="B161" s="10"/>
      <c r="C161" s="9"/>
      <c r="D161" s="9"/>
      <c r="E161" s="9"/>
      <c r="F161" s="9"/>
      <c r="G161" s="9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7" customHeight="1">
      <c r="A162" s="7"/>
      <c r="B162" s="10"/>
      <c r="C162" s="9"/>
      <c r="D162" s="9"/>
      <c r="E162" s="9"/>
      <c r="F162" s="9"/>
      <c r="G162" s="9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7" customHeight="1">
      <c r="A163" s="7"/>
      <c r="B163" s="10"/>
      <c r="C163" s="9"/>
      <c r="D163" s="9"/>
      <c r="E163" s="9"/>
      <c r="F163" s="9"/>
      <c r="G163" s="9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7" customHeight="1">
      <c r="A164" s="7"/>
      <c r="B164" s="10"/>
      <c r="C164" s="9"/>
      <c r="D164" s="9"/>
      <c r="E164" s="9"/>
      <c r="F164" s="9"/>
      <c r="G164" s="9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7" customHeight="1">
      <c r="A165" s="7"/>
      <c r="B165" s="10"/>
      <c r="C165" s="9"/>
      <c r="D165" s="9"/>
      <c r="E165" s="9"/>
      <c r="F165" s="9"/>
      <c r="G165" s="9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7" customHeight="1">
      <c r="A166" s="7"/>
      <c r="B166" s="10"/>
      <c r="C166" s="9"/>
      <c r="D166" s="9"/>
      <c r="E166" s="9"/>
      <c r="F166" s="9"/>
      <c r="G166" s="9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7" customHeight="1">
      <c r="A167" s="7"/>
      <c r="B167" s="10"/>
      <c r="C167" s="9"/>
      <c r="D167" s="9"/>
      <c r="E167" s="9"/>
      <c r="F167" s="9"/>
      <c r="G167" s="9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7" customHeight="1">
      <c r="A168" s="7"/>
      <c r="B168" s="10"/>
      <c r="C168" s="9"/>
      <c r="D168" s="9"/>
      <c r="E168" s="9"/>
      <c r="F168" s="9"/>
      <c r="G168" s="9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7" customHeight="1">
      <c r="A169" s="7"/>
      <c r="B169" s="10"/>
      <c r="C169" s="9"/>
      <c r="D169" s="9"/>
      <c r="E169" s="9"/>
      <c r="F169" s="9"/>
      <c r="G169" s="9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7" customHeight="1">
      <c r="A170" s="7"/>
      <c r="B170" s="10"/>
      <c r="C170" s="9"/>
      <c r="D170" s="9"/>
      <c r="E170" s="9"/>
      <c r="F170" s="9"/>
      <c r="G170" s="9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7" customHeight="1">
      <c r="A171" s="7"/>
      <c r="B171" s="10"/>
      <c r="C171" s="9"/>
      <c r="D171" s="9"/>
      <c r="E171" s="9"/>
      <c r="F171" s="9"/>
      <c r="G171" s="9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7" customHeight="1">
      <c r="A172" s="7"/>
      <c r="B172" s="10"/>
      <c r="C172" s="9"/>
      <c r="D172" s="9"/>
      <c r="E172" s="9"/>
      <c r="F172" s="9"/>
      <c r="G172" s="9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7" customHeight="1">
      <c r="A173" s="7"/>
      <c r="B173" s="10"/>
      <c r="C173" s="9"/>
      <c r="D173" s="9"/>
      <c r="E173" s="9"/>
      <c r="F173" s="9"/>
      <c r="G173" s="9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7" customHeight="1">
      <c r="A174" s="7"/>
      <c r="B174" s="10"/>
      <c r="C174" s="9"/>
      <c r="D174" s="9"/>
      <c r="E174" s="9"/>
      <c r="F174" s="9"/>
      <c r="G174" s="9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7" customHeight="1">
      <c r="A175" s="7"/>
      <c r="B175" s="10"/>
      <c r="C175" s="9"/>
      <c r="D175" s="9"/>
      <c r="E175" s="9"/>
      <c r="F175" s="9"/>
      <c r="G175" s="9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7" customHeight="1">
      <c r="A176" s="7"/>
      <c r="B176" s="10"/>
      <c r="C176" s="9"/>
      <c r="D176" s="9"/>
      <c r="E176" s="9"/>
      <c r="F176" s="9"/>
      <c r="G176" s="9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7" customHeight="1">
      <c r="A177" s="7"/>
      <c r="B177" s="10"/>
      <c r="C177" s="9"/>
      <c r="D177" s="9"/>
      <c r="E177" s="9"/>
      <c r="F177" s="9"/>
      <c r="G177" s="9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7" customHeight="1">
      <c r="A178" s="7"/>
      <c r="B178" s="10"/>
      <c r="C178" s="9"/>
      <c r="D178" s="9"/>
      <c r="E178" s="9"/>
      <c r="F178" s="9"/>
      <c r="G178" s="9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7" customHeight="1">
      <c r="A179" s="7"/>
      <c r="B179" s="10"/>
      <c r="C179" s="9"/>
      <c r="D179" s="9"/>
      <c r="E179" s="9"/>
      <c r="F179" s="9"/>
      <c r="G179" s="9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7" customHeight="1">
      <c r="A180" s="7"/>
      <c r="B180" s="10"/>
      <c r="C180" s="9"/>
      <c r="D180" s="9"/>
      <c r="E180" s="9"/>
      <c r="F180" s="9"/>
      <c r="G180" s="9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7" customHeight="1">
      <c r="A181" s="7"/>
      <c r="B181" s="10"/>
      <c r="C181" s="9"/>
      <c r="D181" s="9"/>
      <c r="E181" s="9"/>
      <c r="F181" s="9"/>
      <c r="G181" s="9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7" customHeight="1">
      <c r="A182" s="7"/>
      <c r="B182" s="10"/>
      <c r="C182" s="9"/>
      <c r="D182" s="9"/>
      <c r="E182" s="9"/>
      <c r="F182" s="9"/>
      <c r="G182" s="9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7" customHeight="1">
      <c r="A183" s="7"/>
      <c r="B183" s="10"/>
      <c r="C183" s="9"/>
      <c r="D183" s="9"/>
      <c r="E183" s="9"/>
      <c r="F183" s="9"/>
      <c r="G183" s="9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7" customHeight="1">
      <c r="A184" s="7"/>
      <c r="B184" s="10"/>
      <c r="C184" s="9"/>
      <c r="D184" s="9"/>
      <c r="E184" s="9"/>
      <c r="F184" s="9"/>
      <c r="G184" s="9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7" customHeight="1">
      <c r="A185" s="7"/>
      <c r="B185" s="10"/>
      <c r="C185" s="9"/>
      <c r="D185" s="9"/>
      <c r="E185" s="9"/>
      <c r="F185" s="9"/>
      <c r="G185" s="9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7" customHeight="1">
      <c r="A186" s="7"/>
      <c r="B186" s="10"/>
      <c r="C186" s="9"/>
      <c r="D186" s="9"/>
      <c r="E186" s="9"/>
      <c r="F186" s="9"/>
      <c r="G186" s="9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7" customHeight="1">
      <c r="A187" s="7"/>
      <c r="B187" s="10"/>
      <c r="C187" s="9"/>
      <c r="D187" s="9"/>
      <c r="E187" s="9"/>
      <c r="F187" s="9"/>
      <c r="G187" s="9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7" customHeight="1">
      <c r="A188" s="7"/>
      <c r="B188" s="10"/>
      <c r="C188" s="9"/>
      <c r="D188" s="9"/>
      <c r="E188" s="9"/>
      <c r="F188" s="9"/>
      <c r="G188" s="9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7" customHeight="1">
      <c r="A189" s="7"/>
      <c r="B189" s="10"/>
      <c r="C189" s="9"/>
      <c r="D189" s="9"/>
      <c r="E189" s="9"/>
      <c r="F189" s="9"/>
      <c r="G189" s="9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7" customHeight="1">
      <c r="A190" s="7"/>
      <c r="B190" s="10"/>
      <c r="C190" s="9"/>
      <c r="D190" s="9"/>
      <c r="E190" s="9"/>
      <c r="F190" s="9"/>
      <c r="G190" s="9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7" customHeight="1">
      <c r="A191" s="7"/>
      <c r="B191" s="10"/>
      <c r="C191" s="9"/>
      <c r="D191" s="9"/>
      <c r="E191" s="9"/>
      <c r="F191" s="9"/>
      <c r="G191" s="9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7" customHeight="1">
      <c r="A192" s="7"/>
      <c r="B192" s="10"/>
      <c r="C192" s="9"/>
      <c r="D192" s="9"/>
      <c r="E192" s="9"/>
      <c r="F192" s="9"/>
      <c r="G192" s="9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7" customHeight="1">
      <c r="A193" s="7"/>
      <c r="B193" s="10"/>
      <c r="C193" s="9"/>
      <c r="D193" s="9"/>
      <c r="E193" s="9"/>
      <c r="F193" s="9"/>
      <c r="G193" s="9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7" customHeight="1">
      <c r="A194" s="7"/>
      <c r="B194" s="10"/>
      <c r="C194" s="9"/>
      <c r="D194" s="9"/>
      <c r="E194" s="9"/>
      <c r="F194" s="9"/>
      <c r="G194" s="9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7" customHeight="1">
      <c r="A195" s="7"/>
      <c r="B195" s="10"/>
      <c r="C195" s="9"/>
      <c r="D195" s="9"/>
      <c r="E195" s="9"/>
      <c r="F195" s="9"/>
      <c r="G195" s="9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7" customHeight="1">
      <c r="A196" s="7"/>
      <c r="B196" s="10"/>
      <c r="C196" s="9"/>
      <c r="D196" s="9"/>
      <c r="E196" s="9"/>
      <c r="F196" s="9"/>
      <c r="G196" s="9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7" customHeight="1">
      <c r="A197" s="7"/>
      <c r="B197" s="10"/>
      <c r="C197" s="9"/>
      <c r="D197" s="9"/>
      <c r="E197" s="9"/>
      <c r="F197" s="9"/>
      <c r="G197" s="9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7" customHeight="1">
      <c r="A198" s="7"/>
      <c r="B198" s="10"/>
      <c r="C198" s="9"/>
      <c r="D198" s="9"/>
      <c r="E198" s="9"/>
      <c r="F198" s="9"/>
      <c r="G198" s="9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7" customHeight="1">
      <c r="A199" s="7"/>
      <c r="B199" s="10"/>
      <c r="C199" s="9"/>
      <c r="D199" s="9"/>
      <c r="E199" s="9"/>
      <c r="F199" s="9"/>
      <c r="G199" s="9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7" customHeight="1">
      <c r="A200" s="7"/>
      <c r="B200" s="10"/>
      <c r="C200" s="9"/>
      <c r="D200" s="9"/>
      <c r="E200" s="9"/>
      <c r="F200" s="9"/>
      <c r="G200" s="9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7" customHeight="1">
      <c r="A201" s="7"/>
      <c r="B201" s="10"/>
      <c r="C201" s="9"/>
      <c r="D201" s="9"/>
      <c r="E201" s="9"/>
      <c r="F201" s="9"/>
      <c r="G201" s="9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7" customHeight="1">
      <c r="A202" s="7"/>
      <c r="B202" s="10"/>
      <c r="C202" s="9"/>
      <c r="D202" s="9"/>
      <c r="E202" s="9"/>
      <c r="F202" s="9"/>
      <c r="G202" s="9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7" customHeight="1">
      <c r="A203" s="7"/>
      <c r="B203" s="10"/>
      <c r="C203" s="9"/>
      <c r="D203" s="9"/>
      <c r="E203" s="9"/>
      <c r="F203" s="9"/>
      <c r="G203" s="9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7" customHeight="1">
      <c r="A204" s="7"/>
      <c r="B204" s="10"/>
      <c r="C204" s="9"/>
      <c r="D204" s="9"/>
      <c r="E204" s="9"/>
      <c r="F204" s="9"/>
      <c r="G204" s="9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7" customHeight="1">
      <c r="A205" s="7"/>
      <c r="B205" s="10"/>
      <c r="C205" s="9"/>
      <c r="D205" s="9"/>
      <c r="E205" s="9"/>
      <c r="F205" s="9"/>
      <c r="G205" s="9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7" customHeight="1">
      <c r="A206" s="7"/>
      <c r="B206" s="10"/>
      <c r="C206" s="9"/>
      <c r="D206" s="9"/>
      <c r="E206" s="9"/>
      <c r="F206" s="9"/>
      <c r="G206" s="9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7" customHeight="1">
      <c r="A207" s="7"/>
      <c r="B207" s="10"/>
      <c r="C207" s="9"/>
      <c r="D207" s="9"/>
      <c r="E207" s="9"/>
      <c r="F207" s="9"/>
      <c r="G207" s="9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7" customHeight="1">
      <c r="A208" s="7"/>
      <c r="B208" s="10"/>
      <c r="C208" s="9"/>
      <c r="D208" s="9"/>
      <c r="E208" s="9"/>
      <c r="F208" s="9"/>
      <c r="G208" s="9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7" customHeight="1">
      <c r="A209" s="7"/>
      <c r="B209" s="10"/>
      <c r="C209" s="9"/>
      <c r="D209" s="9"/>
      <c r="E209" s="9"/>
      <c r="F209" s="9"/>
      <c r="G209" s="9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7" customHeight="1">
      <c r="A210" s="7"/>
      <c r="B210" s="10"/>
      <c r="C210" s="9"/>
      <c r="D210" s="9"/>
      <c r="E210" s="9"/>
      <c r="F210" s="9"/>
      <c r="G210" s="9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7" customHeight="1">
      <c r="A211" s="7"/>
      <c r="B211" s="10"/>
      <c r="C211" s="9"/>
      <c r="D211" s="9"/>
      <c r="E211" s="9"/>
      <c r="F211" s="9"/>
      <c r="G211" s="9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7" customHeight="1">
      <c r="A212" s="7"/>
      <c r="B212" s="10"/>
      <c r="C212" s="9"/>
      <c r="D212" s="9"/>
      <c r="E212" s="9"/>
      <c r="F212" s="9"/>
      <c r="G212" s="9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7" customHeight="1">
      <c r="A213" s="7"/>
      <c r="B213" s="10"/>
      <c r="C213" s="9"/>
      <c r="D213" s="9"/>
      <c r="E213" s="9"/>
      <c r="F213" s="9"/>
      <c r="G213" s="9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7" customHeight="1">
      <c r="A214" s="7"/>
      <c r="B214" s="10"/>
      <c r="C214" s="9"/>
      <c r="D214" s="9"/>
      <c r="E214" s="9"/>
      <c r="F214" s="9"/>
      <c r="G214" s="9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7" customHeight="1">
      <c r="A215" s="7"/>
      <c r="B215" s="10"/>
      <c r="C215" s="9"/>
      <c r="D215" s="9"/>
      <c r="E215" s="9"/>
      <c r="F215" s="9"/>
      <c r="G215" s="9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7" customHeight="1">
      <c r="A216" s="7"/>
      <c r="B216" s="10"/>
      <c r="C216" s="9"/>
      <c r="D216" s="9"/>
      <c r="E216" s="9"/>
      <c r="F216" s="9"/>
      <c r="G216" s="9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7" customHeight="1">
      <c r="A217" s="7"/>
      <c r="B217" s="10"/>
      <c r="C217" s="9"/>
      <c r="D217" s="9"/>
      <c r="E217" s="9"/>
      <c r="F217" s="9"/>
      <c r="G217" s="9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7" customHeight="1">
      <c r="A218" s="7"/>
      <c r="B218" s="10"/>
      <c r="C218" s="9"/>
      <c r="D218" s="9"/>
      <c r="E218" s="9"/>
      <c r="F218" s="9"/>
      <c r="G218" s="9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7" customHeight="1">
      <c r="A219" s="7"/>
      <c r="B219" s="10"/>
      <c r="C219" s="9"/>
      <c r="D219" s="9"/>
      <c r="E219" s="9"/>
      <c r="F219" s="9"/>
      <c r="G219" s="9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7" customHeight="1">
      <c r="A220" s="7"/>
      <c r="B220" s="10"/>
      <c r="C220" s="9"/>
      <c r="D220" s="9"/>
      <c r="E220" s="9"/>
      <c r="F220" s="9"/>
      <c r="G220" s="9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7" customHeight="1">
      <c r="A221" s="7"/>
      <c r="B221" s="10"/>
      <c r="C221" s="9"/>
      <c r="D221" s="9"/>
      <c r="E221" s="9"/>
      <c r="F221" s="9"/>
      <c r="G221" s="9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7" customHeight="1">
      <c r="A222" s="7"/>
      <c r="B222" s="10"/>
      <c r="C222" s="9"/>
      <c r="D222" s="9"/>
      <c r="E222" s="9"/>
      <c r="F222" s="9"/>
      <c r="G222" s="9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7" customHeight="1">
      <c r="A223" s="7"/>
      <c r="B223" s="10"/>
      <c r="C223" s="9"/>
      <c r="D223" s="9"/>
      <c r="E223" s="9"/>
      <c r="F223" s="9"/>
      <c r="G223" s="9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7" customHeight="1">
      <c r="A224" s="7"/>
      <c r="B224" s="10"/>
      <c r="C224" s="9"/>
      <c r="D224" s="9"/>
      <c r="E224" s="9"/>
      <c r="F224" s="9"/>
      <c r="G224" s="9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7" customHeight="1">
      <c r="A225" s="7"/>
      <c r="B225" s="10"/>
      <c r="C225" s="9"/>
      <c r="D225" s="9"/>
      <c r="E225" s="9"/>
      <c r="F225" s="9"/>
      <c r="G225" s="9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7" customHeight="1">
      <c r="A226" s="7"/>
      <c r="B226" s="10"/>
      <c r="C226" s="9"/>
      <c r="D226" s="9"/>
      <c r="E226" s="9"/>
      <c r="F226" s="9"/>
      <c r="G226" s="9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7" customHeight="1">
      <c r="A227" s="7"/>
      <c r="B227" s="10"/>
      <c r="C227" s="9"/>
      <c r="D227" s="9"/>
      <c r="E227" s="9"/>
      <c r="F227" s="9"/>
      <c r="G227" s="9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7" customHeight="1">
      <c r="A228" s="7"/>
      <c r="B228" s="10"/>
      <c r="C228" s="9"/>
      <c r="D228" s="9"/>
      <c r="E228" s="9"/>
      <c r="F228" s="9"/>
      <c r="G228" s="9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7" customHeight="1">
      <c r="A229" s="7"/>
      <c r="B229" s="10"/>
      <c r="C229" s="9"/>
      <c r="D229" s="9"/>
      <c r="E229" s="9"/>
      <c r="F229" s="9"/>
      <c r="G229" s="9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7" customHeight="1">
      <c r="A230" s="7"/>
      <c r="B230" s="10"/>
      <c r="C230" s="9"/>
      <c r="D230" s="9"/>
      <c r="E230" s="9"/>
      <c r="F230" s="9"/>
      <c r="G230" s="9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7" customHeight="1">
      <c r="A231" s="7"/>
      <c r="B231" s="10"/>
      <c r="C231" s="9"/>
      <c r="D231" s="9"/>
      <c r="E231" s="9"/>
      <c r="F231" s="9"/>
      <c r="G231" s="9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7" customHeight="1">
      <c r="A232" s="7"/>
      <c r="B232" s="10"/>
      <c r="C232" s="9"/>
      <c r="D232" s="9"/>
      <c r="E232" s="9"/>
      <c r="F232" s="9"/>
      <c r="G232" s="9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7" customHeight="1">
      <c r="A233" s="7"/>
      <c r="B233" s="10"/>
      <c r="C233" s="9"/>
      <c r="D233" s="9"/>
      <c r="E233" s="9"/>
      <c r="F233" s="9"/>
      <c r="G233" s="9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7" customHeight="1">
      <c r="A234" s="7"/>
      <c r="B234" s="10"/>
      <c r="C234" s="9"/>
      <c r="D234" s="9"/>
      <c r="E234" s="9"/>
      <c r="F234" s="9"/>
      <c r="G234" s="9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7" customHeight="1">
      <c r="A235" s="7"/>
      <c r="B235" s="10"/>
      <c r="C235" s="9"/>
      <c r="D235" s="9"/>
      <c r="E235" s="9"/>
      <c r="F235" s="9"/>
      <c r="G235" s="9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7" customHeight="1">
      <c r="A236" s="7"/>
      <c r="B236" s="10"/>
      <c r="C236" s="9"/>
      <c r="D236" s="9"/>
      <c r="E236" s="9"/>
      <c r="F236" s="9"/>
      <c r="G236" s="9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7" customHeight="1">
      <c r="A237" s="7"/>
      <c r="B237" s="10"/>
      <c r="C237" s="9"/>
      <c r="D237" s="9"/>
      <c r="E237" s="9"/>
      <c r="F237" s="9"/>
      <c r="G237" s="9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7" customHeight="1">
      <c r="A238" s="7"/>
      <c r="B238" s="10"/>
      <c r="C238" s="9"/>
      <c r="D238" s="9"/>
      <c r="E238" s="9"/>
      <c r="F238" s="9"/>
      <c r="G238" s="9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7" customHeight="1">
      <c r="A239" s="7"/>
      <c r="B239" s="10"/>
      <c r="C239" s="9"/>
      <c r="D239" s="9"/>
      <c r="E239" s="9"/>
      <c r="F239" s="9"/>
      <c r="G239" s="9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7" customHeight="1">
      <c r="A240" s="7"/>
      <c r="B240" s="10"/>
      <c r="C240" s="9"/>
      <c r="D240" s="9"/>
      <c r="E240" s="9"/>
      <c r="F240" s="9"/>
      <c r="G240" s="9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7" customHeight="1">
      <c r="A241" s="7"/>
      <c r="B241" s="10"/>
      <c r="C241" s="9"/>
      <c r="D241" s="9"/>
      <c r="E241" s="9"/>
      <c r="F241" s="9"/>
      <c r="G241" s="9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7" customHeight="1">
      <c r="A242" s="7"/>
      <c r="B242" s="10"/>
      <c r="C242" s="9"/>
      <c r="D242" s="9"/>
      <c r="E242" s="9"/>
      <c r="F242" s="9"/>
      <c r="G242" s="9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7" customHeight="1">
      <c r="A243" s="7"/>
      <c r="B243" s="10"/>
      <c r="C243" s="9"/>
      <c r="D243" s="9"/>
      <c r="E243" s="9"/>
      <c r="F243" s="9"/>
      <c r="G243" s="9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7" customHeight="1">
      <c r="A244" s="7"/>
      <c r="B244" s="10"/>
      <c r="C244" s="9"/>
      <c r="D244" s="9"/>
      <c r="E244" s="9"/>
      <c r="F244" s="9"/>
      <c r="G244" s="9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7" customHeight="1">
      <c r="A245" s="7"/>
      <c r="B245" s="10"/>
      <c r="C245" s="9"/>
      <c r="D245" s="9"/>
      <c r="E245" s="9"/>
      <c r="F245" s="9"/>
      <c r="G245" s="9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7" customHeight="1">
      <c r="A246" s="7"/>
      <c r="B246" s="10"/>
      <c r="C246" s="9"/>
      <c r="D246" s="9"/>
      <c r="E246" s="9"/>
      <c r="F246" s="9"/>
      <c r="G246" s="9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7" customHeight="1">
      <c r="A247" s="7"/>
      <c r="B247" s="10"/>
      <c r="C247" s="9"/>
      <c r="D247" s="9"/>
      <c r="E247" s="9"/>
      <c r="F247" s="9"/>
      <c r="G247" s="9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7" customHeight="1">
      <c r="A248" s="7"/>
      <c r="B248" s="10"/>
      <c r="C248" s="9"/>
      <c r="D248" s="9"/>
      <c r="E248" s="9"/>
      <c r="F248" s="9"/>
      <c r="G248" s="9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7" customHeight="1">
      <c r="A249" s="7"/>
      <c r="B249" s="10"/>
      <c r="C249" s="9"/>
      <c r="D249" s="9"/>
      <c r="E249" s="9"/>
      <c r="F249" s="9"/>
      <c r="G249" s="9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7" customHeight="1">
      <c r="A250" s="7"/>
      <c r="B250" s="10"/>
      <c r="C250" s="9"/>
      <c r="D250" s="9"/>
      <c r="E250" s="9"/>
      <c r="F250" s="9"/>
      <c r="G250" s="9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7" customHeight="1">
      <c r="A251" s="7"/>
      <c r="B251" s="10"/>
      <c r="C251" s="9"/>
      <c r="D251" s="9"/>
      <c r="E251" s="9"/>
      <c r="F251" s="9"/>
      <c r="G251" s="9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7" customHeight="1">
      <c r="A252" s="7"/>
      <c r="B252" s="10"/>
      <c r="C252" s="9"/>
      <c r="D252" s="9"/>
      <c r="E252" s="9"/>
      <c r="F252" s="9"/>
      <c r="G252" s="9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7" customHeight="1">
      <c r="A253" s="7"/>
      <c r="B253" s="10"/>
      <c r="C253" s="9"/>
      <c r="D253" s="9"/>
      <c r="E253" s="9"/>
      <c r="F253" s="9"/>
      <c r="G253" s="9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7" customHeight="1">
      <c r="A254" s="7"/>
      <c r="B254" s="10"/>
      <c r="C254" s="9"/>
      <c r="D254" s="9"/>
      <c r="E254" s="9"/>
      <c r="F254" s="9"/>
      <c r="G254" s="9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7" customHeight="1">
      <c r="A255" s="7"/>
      <c r="B255" s="10"/>
      <c r="C255" s="9"/>
      <c r="D255" s="9"/>
      <c r="E255" s="9"/>
      <c r="F255" s="9"/>
      <c r="G255" s="9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7" customHeight="1">
      <c r="A256" s="7"/>
      <c r="B256" s="10"/>
      <c r="C256" s="9"/>
      <c r="D256" s="9"/>
      <c r="E256" s="9"/>
      <c r="F256" s="9"/>
      <c r="G256" s="9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7" customHeight="1">
      <c r="A257" s="7"/>
      <c r="B257" s="10"/>
      <c r="C257" s="9"/>
      <c r="D257" s="9"/>
      <c r="E257" s="9"/>
      <c r="F257" s="9"/>
      <c r="G257" s="9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7" customHeight="1">
      <c r="A258" s="7"/>
      <c r="B258" s="10"/>
      <c r="C258" s="9"/>
      <c r="D258" s="9"/>
      <c r="E258" s="9"/>
      <c r="F258" s="9"/>
      <c r="G258" s="9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7" customHeight="1">
      <c r="A259" s="7"/>
      <c r="B259" s="10"/>
      <c r="C259" s="9"/>
      <c r="D259" s="9"/>
      <c r="E259" s="9"/>
      <c r="F259" s="9"/>
      <c r="G259" s="9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7" customHeight="1">
      <c r="A260" s="7"/>
      <c r="B260" s="10"/>
      <c r="C260" s="9"/>
      <c r="D260" s="9"/>
      <c r="E260" s="9"/>
      <c r="F260" s="9"/>
      <c r="G260" s="9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7" customHeight="1">
      <c r="A261" s="7"/>
      <c r="B261" s="10"/>
      <c r="C261" s="9"/>
      <c r="D261" s="9"/>
      <c r="E261" s="9"/>
      <c r="F261" s="9"/>
      <c r="G261" s="9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7" customHeight="1">
      <c r="A262" s="7"/>
      <c r="B262" s="10"/>
      <c r="C262" s="9"/>
      <c r="D262" s="9"/>
      <c r="E262" s="9"/>
      <c r="F262" s="9"/>
      <c r="G262" s="9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7" customHeight="1">
      <c r="A263" s="7"/>
      <c r="B263" s="10"/>
      <c r="C263" s="9"/>
      <c r="D263" s="9"/>
      <c r="E263" s="9"/>
      <c r="F263" s="9"/>
      <c r="G263" s="9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7" customHeight="1">
      <c r="A264" s="7"/>
      <c r="B264" s="10"/>
      <c r="C264" s="9"/>
      <c r="D264" s="9"/>
      <c r="E264" s="9"/>
      <c r="F264" s="9"/>
      <c r="G264" s="9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7" customHeight="1">
      <c r="A265" s="7"/>
      <c r="B265" s="10"/>
      <c r="C265" s="9"/>
      <c r="D265" s="9"/>
      <c r="E265" s="9"/>
      <c r="F265" s="9"/>
      <c r="G265" s="9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7" customHeight="1">
      <c r="A266" s="7"/>
      <c r="B266" s="10"/>
      <c r="C266" s="9"/>
      <c r="D266" s="9"/>
      <c r="E266" s="9"/>
      <c r="F266" s="9"/>
      <c r="G266" s="9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7" customHeight="1">
      <c r="A267" s="7"/>
      <c r="B267" s="10"/>
      <c r="C267" s="9"/>
      <c r="D267" s="9"/>
      <c r="E267" s="9"/>
      <c r="F267" s="9"/>
      <c r="G267" s="9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7" customHeight="1">
      <c r="A268" s="7"/>
      <c r="B268" s="10"/>
      <c r="C268" s="9"/>
      <c r="D268" s="9"/>
      <c r="E268" s="9"/>
      <c r="F268" s="9"/>
      <c r="G268" s="9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7" customHeight="1">
      <c r="A269" s="7"/>
      <c r="B269" s="10"/>
      <c r="C269" s="9"/>
      <c r="D269" s="9"/>
      <c r="E269" s="9"/>
      <c r="F269" s="9"/>
      <c r="G269" s="9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7" customHeight="1">
      <c r="A270" s="7"/>
      <c r="B270" s="10"/>
      <c r="C270" s="9"/>
      <c r="D270" s="9"/>
      <c r="E270" s="9"/>
      <c r="F270" s="9"/>
      <c r="G270" s="9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7" customHeight="1">
      <c r="A271" s="7"/>
      <c r="B271" s="10"/>
      <c r="C271" s="9"/>
      <c r="D271" s="9"/>
      <c r="E271" s="9"/>
      <c r="F271" s="9"/>
      <c r="G271" s="9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7" customHeight="1">
      <c r="A272" s="7"/>
      <c r="B272" s="10"/>
      <c r="C272" s="9"/>
      <c r="D272" s="9"/>
      <c r="E272" s="9"/>
      <c r="F272" s="9"/>
      <c r="G272" s="9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7" customHeight="1">
      <c r="A273" s="7"/>
      <c r="B273" s="10"/>
      <c r="C273" s="9"/>
      <c r="D273" s="9"/>
      <c r="E273" s="9"/>
      <c r="F273" s="9"/>
      <c r="G273" s="9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7" customHeight="1">
      <c r="A274" s="7"/>
      <c r="B274" s="10"/>
      <c r="C274" s="9"/>
      <c r="D274" s="9"/>
      <c r="E274" s="9"/>
      <c r="F274" s="9"/>
      <c r="G274" s="9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7" customHeight="1">
      <c r="A275" s="7"/>
      <c r="B275" s="10"/>
      <c r="C275" s="9"/>
      <c r="D275" s="9"/>
      <c r="E275" s="9"/>
      <c r="F275" s="9"/>
      <c r="G275" s="9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7" customHeight="1">
      <c r="A276" s="7"/>
      <c r="B276" s="10"/>
      <c r="C276" s="9"/>
      <c r="D276" s="9"/>
      <c r="E276" s="9"/>
      <c r="F276" s="9"/>
      <c r="G276" s="9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7" customHeight="1">
      <c r="A277" s="7"/>
      <c r="B277" s="10"/>
      <c r="C277" s="9"/>
      <c r="D277" s="9"/>
      <c r="E277" s="9"/>
      <c r="F277" s="9"/>
      <c r="G277" s="9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7" customHeight="1">
      <c r="A278" s="7"/>
      <c r="B278" s="10"/>
      <c r="C278" s="9"/>
      <c r="D278" s="9"/>
      <c r="E278" s="9"/>
      <c r="F278" s="9"/>
      <c r="G278" s="9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7" customHeight="1">
      <c r="A279" s="7"/>
      <c r="B279" s="10"/>
      <c r="C279" s="9"/>
      <c r="D279" s="9"/>
      <c r="E279" s="9"/>
      <c r="F279" s="9"/>
      <c r="G279" s="9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7" customHeight="1">
      <c r="A280" s="7"/>
      <c r="B280" s="10"/>
      <c r="C280" s="9"/>
      <c r="D280" s="9"/>
      <c r="E280" s="9"/>
      <c r="F280" s="9"/>
      <c r="G280" s="9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7" customHeight="1">
      <c r="A281" s="7"/>
      <c r="B281" s="10"/>
      <c r="C281" s="9"/>
      <c r="D281" s="9"/>
      <c r="E281" s="9"/>
      <c r="F281" s="9"/>
      <c r="G281" s="9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7" customHeight="1">
      <c r="A282" s="7"/>
      <c r="B282" s="10"/>
      <c r="C282" s="9"/>
      <c r="D282" s="9"/>
      <c r="E282" s="9"/>
      <c r="F282" s="9"/>
      <c r="G282" s="9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7" customHeight="1">
      <c r="A283" s="7"/>
      <c r="B283" s="10"/>
      <c r="C283" s="9"/>
      <c r="D283" s="9"/>
      <c r="E283" s="9"/>
      <c r="F283" s="9"/>
      <c r="G283" s="9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7" customHeight="1">
      <c r="A284" s="7"/>
      <c r="B284" s="10"/>
      <c r="C284" s="9"/>
      <c r="D284" s="9"/>
      <c r="E284" s="9"/>
      <c r="F284" s="9"/>
      <c r="G284" s="9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7" customHeight="1">
      <c r="A285" s="7"/>
      <c r="B285" s="10"/>
      <c r="C285" s="9"/>
      <c r="D285" s="9"/>
      <c r="E285" s="9"/>
      <c r="F285" s="9"/>
      <c r="G285" s="9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7" customHeight="1">
      <c r="A286" s="7"/>
      <c r="B286" s="10"/>
      <c r="C286" s="9"/>
      <c r="D286" s="9"/>
      <c r="E286" s="9"/>
      <c r="F286" s="9"/>
      <c r="G286" s="9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7" customHeight="1">
      <c r="A287" s="7"/>
      <c r="B287" s="10"/>
      <c r="C287" s="9"/>
      <c r="D287" s="9"/>
      <c r="E287" s="9"/>
      <c r="F287" s="9"/>
      <c r="G287" s="9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7" customHeight="1">
      <c r="A288" s="7"/>
      <c r="B288" s="10"/>
      <c r="C288" s="9"/>
      <c r="D288" s="9"/>
      <c r="E288" s="9"/>
      <c r="F288" s="9"/>
      <c r="G288" s="9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7" customHeight="1">
      <c r="A289" s="7"/>
      <c r="B289" s="10"/>
      <c r="C289" s="9"/>
      <c r="D289" s="9"/>
      <c r="E289" s="9"/>
      <c r="F289" s="9"/>
      <c r="G289" s="9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7" customHeight="1">
      <c r="A290" s="7"/>
      <c r="B290" s="10"/>
      <c r="C290" s="9"/>
      <c r="D290" s="9"/>
      <c r="E290" s="9"/>
      <c r="F290" s="9"/>
      <c r="G290" s="9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7" customHeight="1">
      <c r="A291" s="7"/>
      <c r="B291" s="10"/>
      <c r="C291" s="9"/>
      <c r="D291" s="9"/>
      <c r="E291" s="9"/>
      <c r="F291" s="9"/>
      <c r="G291" s="9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7" customHeight="1">
      <c r="A292" s="7"/>
      <c r="B292" s="10"/>
      <c r="C292" s="9"/>
      <c r="D292" s="9"/>
      <c r="E292" s="9"/>
      <c r="F292" s="9"/>
      <c r="G292" s="9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7" customHeight="1">
      <c r="A293" s="7"/>
      <c r="B293" s="10"/>
      <c r="C293" s="9"/>
      <c r="D293" s="9"/>
      <c r="E293" s="9"/>
      <c r="F293" s="9"/>
      <c r="G293" s="9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7" customHeight="1">
      <c r="A294" s="7"/>
      <c r="B294" s="10"/>
      <c r="C294" s="9"/>
      <c r="D294" s="9"/>
      <c r="E294" s="9"/>
      <c r="F294" s="9"/>
      <c r="G294" s="9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7" customHeight="1">
      <c r="A295" s="7"/>
      <c r="B295" s="10"/>
      <c r="C295" s="9"/>
      <c r="D295" s="9"/>
      <c r="E295" s="9"/>
      <c r="F295" s="9"/>
      <c r="G295" s="9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7" customHeight="1">
      <c r="A296" s="7"/>
      <c r="B296" s="10"/>
      <c r="C296" s="9"/>
      <c r="D296" s="9"/>
      <c r="E296" s="9"/>
      <c r="F296" s="9"/>
      <c r="G296" s="9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7" customHeight="1">
      <c r="A297" s="7"/>
      <c r="B297" s="10"/>
      <c r="C297" s="9"/>
      <c r="D297" s="9"/>
      <c r="E297" s="9"/>
      <c r="F297" s="9"/>
      <c r="G297" s="9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7" customHeight="1">
      <c r="A298" s="7"/>
      <c r="B298" s="10"/>
      <c r="C298" s="9"/>
      <c r="D298" s="9"/>
      <c r="E298" s="9"/>
      <c r="F298" s="9"/>
      <c r="G298" s="9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7" customHeight="1">
      <c r="A299" s="7"/>
      <c r="B299" s="10"/>
      <c r="C299" s="9"/>
      <c r="D299" s="9"/>
      <c r="E299" s="9"/>
      <c r="F299" s="9"/>
      <c r="G299" s="9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7" customHeight="1">
      <c r="A300" s="7"/>
      <c r="B300" s="10"/>
      <c r="C300" s="9"/>
      <c r="D300" s="9"/>
      <c r="E300" s="9"/>
      <c r="F300" s="9"/>
      <c r="G300" s="9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7" customHeight="1">
      <c r="A301" s="7"/>
      <c r="B301" s="10"/>
      <c r="C301" s="9"/>
      <c r="D301" s="9"/>
      <c r="E301" s="9"/>
      <c r="F301" s="9"/>
      <c r="G301" s="9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7" customHeight="1">
      <c r="A302" s="7"/>
      <c r="B302" s="10"/>
      <c r="C302" s="9"/>
      <c r="D302" s="9"/>
      <c r="E302" s="9"/>
      <c r="F302" s="9"/>
      <c r="G302" s="9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7" customHeight="1">
      <c r="A303" s="7"/>
      <c r="B303" s="10"/>
      <c r="C303" s="9"/>
      <c r="D303" s="9"/>
      <c r="E303" s="9"/>
      <c r="F303" s="9"/>
      <c r="G303" s="9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7" customHeight="1">
      <c r="A304" s="7"/>
      <c r="B304" s="10"/>
      <c r="C304" s="9"/>
      <c r="D304" s="9"/>
      <c r="E304" s="9"/>
      <c r="F304" s="9"/>
      <c r="G304" s="9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7" customHeight="1">
      <c r="A305" s="7"/>
      <c r="B305" s="10"/>
      <c r="C305" s="9"/>
      <c r="D305" s="9"/>
      <c r="E305" s="9"/>
      <c r="F305" s="9"/>
      <c r="G305" s="9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7" customHeight="1">
      <c r="A306" s="7"/>
      <c r="B306" s="10"/>
      <c r="C306" s="9"/>
      <c r="D306" s="9"/>
      <c r="E306" s="9"/>
      <c r="F306" s="9"/>
      <c r="G306" s="9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7" customHeight="1">
      <c r="A307" s="7"/>
      <c r="B307" s="10"/>
      <c r="C307" s="9"/>
      <c r="D307" s="9"/>
      <c r="E307" s="9"/>
      <c r="F307" s="9"/>
      <c r="G307" s="9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7" customHeight="1">
      <c r="A308" s="7"/>
      <c r="B308" s="10"/>
      <c r="C308" s="9"/>
      <c r="D308" s="9"/>
      <c r="E308" s="9"/>
      <c r="F308" s="9"/>
      <c r="G308" s="9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7" customHeight="1">
      <c r="A309" s="7"/>
      <c r="B309" s="10"/>
      <c r="C309" s="9"/>
      <c r="D309" s="9"/>
      <c r="E309" s="9"/>
      <c r="F309" s="9"/>
      <c r="G309" s="9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7" customHeight="1">
      <c r="A310" s="7"/>
      <c r="B310" s="10"/>
      <c r="C310" s="9"/>
      <c r="D310" s="9"/>
      <c r="E310" s="9"/>
      <c r="F310" s="9"/>
      <c r="G310" s="9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7" customHeight="1">
      <c r="A311" s="7"/>
      <c r="B311" s="10"/>
      <c r="C311" s="9"/>
      <c r="D311" s="9"/>
      <c r="E311" s="9"/>
      <c r="F311" s="9"/>
      <c r="G311" s="9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7" customHeight="1">
      <c r="A312" s="7"/>
      <c r="B312" s="10"/>
      <c r="C312" s="9"/>
      <c r="D312" s="9"/>
      <c r="E312" s="9"/>
      <c r="F312" s="9"/>
      <c r="G312" s="9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7" customHeight="1">
      <c r="A313" s="7"/>
      <c r="B313" s="10"/>
      <c r="C313" s="9"/>
      <c r="D313" s="9"/>
      <c r="E313" s="9"/>
      <c r="F313" s="9"/>
      <c r="G313" s="9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7" customHeight="1">
      <c r="A314" s="7"/>
      <c r="B314" s="10"/>
      <c r="C314" s="9"/>
      <c r="D314" s="9"/>
      <c r="E314" s="9"/>
      <c r="F314" s="9"/>
      <c r="G314" s="9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7" customHeight="1">
      <c r="A315" s="7"/>
      <c r="B315" s="10"/>
      <c r="C315" s="9"/>
      <c r="D315" s="9"/>
      <c r="E315" s="9"/>
      <c r="F315" s="9"/>
      <c r="G315" s="9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7" customHeight="1">
      <c r="A316" s="7"/>
      <c r="B316" s="10"/>
      <c r="C316" s="9"/>
      <c r="D316" s="9"/>
      <c r="E316" s="9"/>
      <c r="F316" s="9"/>
      <c r="G316" s="9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7" customHeight="1">
      <c r="A317" s="7"/>
      <c r="B317" s="10"/>
      <c r="C317" s="9"/>
      <c r="D317" s="9"/>
      <c r="E317" s="9"/>
      <c r="F317" s="9"/>
      <c r="G317" s="9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7" customHeight="1">
      <c r="A318" s="7"/>
      <c r="B318" s="10"/>
      <c r="C318" s="9"/>
      <c r="D318" s="9"/>
      <c r="E318" s="9"/>
      <c r="F318" s="9"/>
      <c r="G318" s="9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7" customHeight="1">
      <c r="A319" s="7"/>
      <c r="B319" s="10"/>
      <c r="C319" s="9"/>
      <c r="D319" s="9"/>
      <c r="E319" s="9"/>
      <c r="F319" s="9"/>
      <c r="G319" s="9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7" customHeight="1">
      <c r="A320" s="7"/>
      <c r="B320" s="10"/>
      <c r="C320" s="9"/>
      <c r="D320" s="9"/>
      <c r="E320" s="9"/>
      <c r="F320" s="9"/>
      <c r="G320" s="9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7" customHeight="1">
      <c r="A321" s="7"/>
      <c r="B321" s="10"/>
      <c r="C321" s="9"/>
      <c r="D321" s="9"/>
      <c r="E321" s="9"/>
      <c r="F321" s="9"/>
      <c r="G321" s="9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7" customHeight="1">
      <c r="A322" s="7"/>
      <c r="B322" s="10"/>
      <c r="C322" s="9"/>
      <c r="D322" s="9"/>
      <c r="E322" s="9"/>
      <c r="F322" s="9"/>
      <c r="G322" s="9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7" customHeight="1">
      <c r="A323" s="7"/>
      <c r="B323" s="10"/>
      <c r="C323" s="9"/>
      <c r="D323" s="9"/>
      <c r="E323" s="9"/>
      <c r="F323" s="9"/>
      <c r="G323" s="9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7" customHeight="1">
      <c r="A324" s="7"/>
      <c r="B324" s="10"/>
      <c r="C324" s="9"/>
      <c r="D324" s="9"/>
      <c r="E324" s="9"/>
      <c r="F324" s="9"/>
      <c r="G324" s="9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7" customHeight="1">
      <c r="A325" s="7"/>
      <c r="B325" s="10"/>
      <c r="C325" s="9"/>
      <c r="D325" s="9"/>
      <c r="E325" s="9"/>
      <c r="F325" s="9"/>
      <c r="G325" s="9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7" customHeight="1">
      <c r="A326" s="7"/>
      <c r="B326" s="10"/>
      <c r="C326" s="9"/>
      <c r="D326" s="9"/>
      <c r="E326" s="9"/>
      <c r="F326" s="9"/>
      <c r="G326" s="9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7" customHeight="1">
      <c r="A327" s="7"/>
      <c r="B327" s="10"/>
      <c r="C327" s="9"/>
      <c r="D327" s="9"/>
      <c r="E327" s="9"/>
      <c r="F327" s="9"/>
      <c r="G327" s="9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7" customHeight="1">
      <c r="A328" s="7"/>
      <c r="B328" s="10"/>
      <c r="C328" s="9"/>
      <c r="D328" s="9"/>
      <c r="E328" s="9"/>
      <c r="F328" s="9"/>
      <c r="G328" s="9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7" customHeight="1">
      <c r="A329" s="7"/>
      <c r="B329" s="10"/>
      <c r="C329" s="9"/>
      <c r="D329" s="9"/>
      <c r="E329" s="9"/>
      <c r="F329" s="9"/>
      <c r="G329" s="9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7" customHeight="1">
      <c r="A330" s="7"/>
      <c r="B330" s="10"/>
      <c r="C330" s="9"/>
      <c r="D330" s="9"/>
      <c r="E330" s="9"/>
      <c r="F330" s="9"/>
      <c r="G330" s="9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7" customHeight="1">
      <c r="A331" s="7"/>
      <c r="B331" s="10"/>
      <c r="C331" s="9"/>
      <c r="D331" s="9"/>
      <c r="E331" s="9"/>
      <c r="F331" s="9"/>
      <c r="G331" s="9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7" customHeight="1">
      <c r="A332" s="7"/>
      <c r="B332" s="10"/>
      <c r="C332" s="9"/>
      <c r="D332" s="9"/>
      <c r="E332" s="9"/>
      <c r="F332" s="9"/>
      <c r="G332" s="9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7" customHeight="1">
      <c r="A333" s="7"/>
      <c r="B333" s="10"/>
      <c r="C333" s="9"/>
      <c r="D333" s="9"/>
      <c r="E333" s="9"/>
      <c r="F333" s="9"/>
      <c r="G333" s="9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7" customHeight="1">
      <c r="A334" s="7"/>
      <c r="B334" s="10"/>
      <c r="C334" s="9"/>
      <c r="D334" s="9"/>
      <c r="E334" s="9"/>
      <c r="F334" s="9"/>
      <c r="G334" s="9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7" customHeight="1">
      <c r="A335" s="7"/>
      <c r="B335" s="10"/>
      <c r="C335" s="9"/>
      <c r="D335" s="9"/>
      <c r="E335" s="9"/>
      <c r="F335" s="9"/>
      <c r="G335" s="9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7" customHeight="1">
      <c r="A336" s="7"/>
      <c r="B336" s="10"/>
      <c r="C336" s="9"/>
      <c r="D336" s="9"/>
      <c r="E336" s="9"/>
      <c r="F336" s="9"/>
      <c r="G336" s="9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7" customHeight="1">
      <c r="A337" s="7"/>
      <c r="B337" s="10"/>
      <c r="C337" s="9"/>
      <c r="D337" s="9"/>
      <c r="E337" s="9"/>
      <c r="F337" s="9"/>
      <c r="G337" s="9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7" customHeight="1">
      <c r="A338" s="7"/>
      <c r="B338" s="10"/>
      <c r="C338" s="9"/>
      <c r="D338" s="9"/>
      <c r="E338" s="9"/>
      <c r="F338" s="9"/>
      <c r="G338" s="9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7" customHeight="1">
      <c r="A339" s="7"/>
      <c r="B339" s="10"/>
      <c r="C339" s="9"/>
      <c r="D339" s="9"/>
      <c r="E339" s="9"/>
      <c r="F339" s="9"/>
      <c r="G339" s="9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7" customHeight="1">
      <c r="A340" s="7"/>
      <c r="B340" s="10"/>
      <c r="C340" s="9"/>
      <c r="D340" s="9"/>
      <c r="E340" s="9"/>
      <c r="F340" s="9"/>
      <c r="G340" s="9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7" customHeight="1">
      <c r="A341" s="7"/>
      <c r="B341" s="10"/>
      <c r="C341" s="9"/>
      <c r="D341" s="9"/>
      <c r="E341" s="9"/>
      <c r="F341" s="9"/>
      <c r="G341" s="9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7" customHeight="1">
      <c r="A342" s="7"/>
      <c r="B342" s="10"/>
      <c r="C342" s="9"/>
      <c r="D342" s="9"/>
      <c r="E342" s="9"/>
      <c r="F342" s="9"/>
      <c r="G342" s="9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7" customHeight="1">
      <c r="A343" s="7"/>
      <c r="B343" s="10"/>
      <c r="C343" s="9"/>
      <c r="D343" s="9"/>
      <c r="E343" s="9"/>
      <c r="F343" s="9"/>
      <c r="G343" s="9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7" customHeight="1">
      <c r="A344" s="7"/>
      <c r="B344" s="10"/>
      <c r="C344" s="9"/>
      <c r="D344" s="9"/>
      <c r="E344" s="9"/>
      <c r="F344" s="9"/>
      <c r="G344" s="9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7" customHeight="1">
      <c r="A345" s="7"/>
      <c r="B345" s="10"/>
      <c r="C345" s="9"/>
      <c r="D345" s="9"/>
      <c r="E345" s="9"/>
      <c r="F345" s="9"/>
      <c r="G345" s="9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7" customHeight="1">
      <c r="A346" s="7"/>
      <c r="B346" s="10"/>
      <c r="C346" s="9"/>
      <c r="D346" s="9"/>
      <c r="E346" s="9"/>
      <c r="F346" s="9"/>
      <c r="G346" s="9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7" customHeight="1">
      <c r="A347" s="7"/>
      <c r="B347" s="10"/>
      <c r="C347" s="9"/>
      <c r="D347" s="9"/>
      <c r="E347" s="9"/>
      <c r="F347" s="9"/>
      <c r="G347" s="9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7" customHeight="1">
      <c r="A348" s="7"/>
      <c r="B348" s="10"/>
      <c r="C348" s="9"/>
      <c r="D348" s="9"/>
      <c r="E348" s="9"/>
      <c r="F348" s="9"/>
      <c r="G348" s="9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7" customHeight="1">
      <c r="A349" s="7"/>
      <c r="B349" s="10"/>
      <c r="C349" s="9"/>
      <c r="D349" s="9"/>
      <c r="E349" s="9"/>
      <c r="F349" s="9"/>
      <c r="G349" s="9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7" customHeight="1">
      <c r="A350" s="7"/>
      <c r="B350" s="10"/>
      <c r="C350" s="9"/>
      <c r="D350" s="9"/>
      <c r="E350" s="9"/>
      <c r="F350" s="9"/>
      <c r="G350" s="9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7" customHeight="1">
      <c r="A351" s="7"/>
      <c r="B351" s="10"/>
      <c r="C351" s="9"/>
      <c r="D351" s="9"/>
      <c r="E351" s="9"/>
      <c r="F351" s="9"/>
      <c r="G351" s="9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7" customHeight="1">
      <c r="A352" s="7"/>
      <c r="B352" s="10"/>
      <c r="C352" s="9"/>
      <c r="D352" s="9"/>
      <c r="E352" s="9"/>
      <c r="F352" s="9"/>
      <c r="G352" s="9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7" customHeight="1">
      <c r="A353" s="7"/>
      <c r="B353" s="10"/>
      <c r="C353" s="9"/>
      <c r="D353" s="9"/>
      <c r="E353" s="9"/>
      <c r="F353" s="9"/>
      <c r="G353" s="9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7" customHeight="1">
      <c r="A354" s="7"/>
      <c r="B354" s="10"/>
      <c r="C354" s="9"/>
      <c r="D354" s="9"/>
      <c r="E354" s="9"/>
      <c r="F354" s="9"/>
      <c r="G354" s="9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7" customHeight="1">
      <c r="A355" s="7"/>
      <c r="B355" s="10"/>
      <c r="C355" s="9"/>
      <c r="D355" s="9"/>
      <c r="E355" s="9"/>
      <c r="F355" s="9"/>
      <c r="G355" s="9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7" customHeight="1">
      <c r="A356" s="7"/>
      <c r="B356" s="10"/>
      <c r="C356" s="9"/>
      <c r="D356" s="9"/>
      <c r="E356" s="9"/>
      <c r="F356" s="9"/>
      <c r="G356" s="9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7" customHeight="1">
      <c r="A357" s="7"/>
      <c r="B357" s="10"/>
      <c r="C357" s="9"/>
      <c r="D357" s="9"/>
      <c r="E357" s="9"/>
      <c r="F357" s="9"/>
      <c r="G357" s="9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7" customHeight="1">
      <c r="A358" s="7"/>
      <c r="B358" s="10"/>
      <c r="C358" s="9"/>
      <c r="D358" s="9"/>
      <c r="E358" s="9"/>
      <c r="F358" s="9"/>
      <c r="G358" s="9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7" customHeight="1">
      <c r="A359" s="7"/>
      <c r="B359" s="10"/>
      <c r="C359" s="9"/>
      <c r="D359" s="9"/>
      <c r="E359" s="9"/>
      <c r="F359" s="9"/>
      <c r="G359" s="9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7" customHeight="1">
      <c r="A360" s="7"/>
      <c r="B360" s="10"/>
      <c r="C360" s="9"/>
      <c r="D360" s="9"/>
      <c r="E360" s="9"/>
      <c r="F360" s="9"/>
      <c r="G360" s="9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7" customHeight="1">
      <c r="A361" s="7"/>
      <c r="B361" s="10"/>
      <c r="C361" s="9"/>
      <c r="D361" s="9"/>
      <c r="E361" s="9"/>
      <c r="F361" s="9"/>
      <c r="G361" s="9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7" customHeight="1">
      <c r="A362" s="7"/>
      <c r="B362" s="10"/>
      <c r="C362" s="9"/>
      <c r="D362" s="9"/>
      <c r="E362" s="9"/>
      <c r="F362" s="9"/>
      <c r="G362" s="9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7" customHeight="1">
      <c r="A363" s="7"/>
      <c r="B363" s="10"/>
      <c r="C363" s="9"/>
      <c r="D363" s="9"/>
      <c r="E363" s="9"/>
      <c r="F363" s="9"/>
      <c r="G363" s="9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7" customHeight="1">
      <c r="A364" s="7"/>
      <c r="B364" s="10"/>
      <c r="C364" s="9"/>
      <c r="D364" s="9"/>
      <c r="E364" s="9"/>
      <c r="F364" s="9"/>
      <c r="G364" s="9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7" customHeight="1">
      <c r="A365" s="7"/>
      <c r="B365" s="10"/>
      <c r="C365" s="9"/>
      <c r="D365" s="9"/>
      <c r="E365" s="9"/>
      <c r="F365" s="9"/>
      <c r="G365" s="9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7" customHeight="1">
      <c r="A366" s="7"/>
      <c r="B366" s="10"/>
      <c r="C366" s="9"/>
      <c r="D366" s="9"/>
      <c r="E366" s="9"/>
      <c r="F366" s="9"/>
      <c r="G366" s="9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7" customHeight="1">
      <c r="A367" s="7"/>
      <c r="B367" s="10"/>
      <c r="C367" s="9"/>
      <c r="D367" s="9"/>
      <c r="E367" s="9"/>
      <c r="F367" s="9"/>
      <c r="G367" s="9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7" customHeight="1">
      <c r="A368" s="7"/>
      <c r="B368" s="10"/>
      <c r="C368" s="9"/>
      <c r="D368" s="9"/>
      <c r="E368" s="9"/>
      <c r="F368" s="9"/>
      <c r="G368" s="9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7" customHeight="1">
      <c r="A369" s="7"/>
      <c r="B369" s="10"/>
      <c r="C369" s="9"/>
      <c r="D369" s="9"/>
      <c r="E369" s="9"/>
      <c r="F369" s="9"/>
      <c r="G369" s="9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7" customHeight="1">
      <c r="A370" s="7"/>
      <c r="B370" s="10"/>
      <c r="C370" s="9"/>
      <c r="D370" s="9"/>
      <c r="E370" s="9"/>
      <c r="F370" s="9"/>
      <c r="G370" s="9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7" customHeight="1">
      <c r="A371" s="7"/>
      <c r="B371" s="10"/>
      <c r="C371" s="9"/>
      <c r="D371" s="9"/>
      <c r="E371" s="9"/>
      <c r="F371" s="9"/>
      <c r="G371" s="9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7" customHeight="1">
      <c r="A372" s="7"/>
      <c r="B372" s="10"/>
      <c r="C372" s="9"/>
      <c r="D372" s="9"/>
      <c r="E372" s="9"/>
      <c r="F372" s="9"/>
      <c r="G372" s="9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7" customHeight="1">
      <c r="A373" s="7"/>
      <c r="B373" s="10"/>
      <c r="C373" s="9"/>
      <c r="D373" s="9"/>
      <c r="E373" s="9"/>
      <c r="F373" s="9"/>
      <c r="G373" s="9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7" customHeight="1">
      <c r="A374" s="7"/>
      <c r="B374" s="10"/>
      <c r="C374" s="9"/>
      <c r="D374" s="9"/>
      <c r="E374" s="9"/>
      <c r="F374" s="9"/>
      <c r="G374" s="9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7" customHeight="1">
      <c r="A375" s="7"/>
      <c r="B375" s="10"/>
      <c r="C375" s="9"/>
      <c r="D375" s="9"/>
      <c r="E375" s="9"/>
      <c r="F375" s="9"/>
      <c r="G375" s="9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7" customHeight="1">
      <c r="A376" s="7"/>
      <c r="B376" s="10"/>
      <c r="C376" s="9"/>
      <c r="D376" s="9"/>
      <c r="E376" s="9"/>
      <c r="F376" s="9"/>
      <c r="G376" s="9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7" customHeight="1">
      <c r="A377" s="7"/>
      <c r="B377" s="10"/>
      <c r="C377" s="9"/>
      <c r="D377" s="9"/>
      <c r="E377" s="9"/>
      <c r="F377" s="9"/>
      <c r="G377" s="9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7" customHeight="1">
      <c r="A378" s="7"/>
      <c r="B378" s="10"/>
      <c r="C378" s="9"/>
      <c r="D378" s="9"/>
      <c r="E378" s="9"/>
      <c r="F378" s="9"/>
      <c r="G378" s="9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7" customHeight="1">
      <c r="A379" s="7"/>
      <c r="B379" s="10"/>
      <c r="C379" s="9"/>
      <c r="D379" s="9"/>
      <c r="E379" s="9"/>
      <c r="F379" s="9"/>
      <c r="G379" s="9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7" customHeight="1">
      <c r="A380" s="7"/>
      <c r="B380" s="10"/>
      <c r="C380" s="9"/>
      <c r="D380" s="9"/>
      <c r="E380" s="9"/>
      <c r="F380" s="9"/>
      <c r="G380" s="9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7" customHeight="1">
      <c r="A381" s="7"/>
      <c r="B381" s="10"/>
      <c r="C381" s="9"/>
      <c r="D381" s="9"/>
      <c r="E381" s="9"/>
      <c r="F381" s="9"/>
      <c r="G381" s="9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7" customHeight="1">
      <c r="A382" s="7"/>
      <c r="B382" s="10"/>
      <c r="C382" s="9"/>
      <c r="D382" s="9"/>
      <c r="E382" s="9"/>
      <c r="F382" s="9"/>
      <c r="G382" s="9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7" customHeight="1">
      <c r="A383" s="7"/>
      <c r="B383" s="10"/>
      <c r="C383" s="9"/>
      <c r="D383" s="9"/>
      <c r="E383" s="9"/>
      <c r="F383" s="9"/>
      <c r="G383" s="9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7" customHeight="1">
      <c r="A384" s="7"/>
      <c r="B384" s="10"/>
      <c r="C384" s="9"/>
      <c r="D384" s="9"/>
      <c r="E384" s="9"/>
      <c r="F384" s="9"/>
      <c r="G384" s="9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7" customHeight="1">
      <c r="A385" s="7"/>
      <c r="B385" s="10"/>
      <c r="C385" s="9"/>
      <c r="D385" s="9"/>
      <c r="E385" s="9"/>
      <c r="F385" s="9"/>
      <c r="G385" s="9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7" customHeight="1">
      <c r="A386" s="7"/>
      <c r="B386" s="10"/>
      <c r="C386" s="9"/>
      <c r="D386" s="9"/>
      <c r="E386" s="9"/>
      <c r="F386" s="9"/>
      <c r="G386" s="9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7" customHeight="1">
      <c r="A387" s="7"/>
      <c r="B387" s="10"/>
      <c r="C387" s="9"/>
      <c r="D387" s="9"/>
      <c r="E387" s="9"/>
      <c r="F387" s="9"/>
      <c r="G387" s="9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7" customHeight="1">
      <c r="A388" s="7"/>
      <c r="B388" s="10"/>
      <c r="C388" s="9"/>
      <c r="D388" s="9"/>
      <c r="E388" s="9"/>
      <c r="F388" s="9"/>
      <c r="G388" s="9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7" customHeight="1">
      <c r="A389" s="7"/>
      <c r="B389" s="10"/>
      <c r="C389" s="9"/>
      <c r="D389" s="9"/>
      <c r="E389" s="9"/>
      <c r="F389" s="9"/>
      <c r="G389" s="9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7" customHeight="1">
      <c r="A390" s="7"/>
      <c r="B390" s="10"/>
      <c r="C390" s="9"/>
      <c r="D390" s="9"/>
      <c r="E390" s="9"/>
      <c r="F390" s="9"/>
      <c r="G390" s="9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7" customHeight="1">
      <c r="A391" s="7"/>
      <c r="B391" s="10"/>
      <c r="C391" s="9"/>
      <c r="D391" s="9"/>
      <c r="E391" s="9"/>
      <c r="F391" s="9"/>
      <c r="G391" s="9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7" customHeight="1">
      <c r="A392" s="7"/>
      <c r="B392" s="10"/>
      <c r="C392" s="9"/>
      <c r="D392" s="9"/>
      <c r="E392" s="9"/>
      <c r="F392" s="9"/>
      <c r="G392" s="9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7" customHeight="1">
      <c r="A393" s="7"/>
      <c r="B393" s="10"/>
      <c r="C393" s="9"/>
      <c r="D393" s="9"/>
      <c r="E393" s="9"/>
      <c r="F393" s="9"/>
      <c r="G393" s="9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7" customHeight="1">
      <c r="A394" s="7"/>
      <c r="B394" s="10"/>
      <c r="C394" s="9"/>
      <c r="D394" s="9"/>
      <c r="E394" s="9"/>
      <c r="F394" s="9"/>
      <c r="G394" s="9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7" customHeight="1">
      <c r="A395" s="7"/>
      <c r="B395" s="10"/>
      <c r="C395" s="9"/>
      <c r="D395" s="9"/>
      <c r="E395" s="9"/>
      <c r="F395" s="9"/>
      <c r="G395" s="9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7" customHeight="1">
      <c r="A396" s="7"/>
      <c r="B396" s="10"/>
      <c r="C396" s="9"/>
      <c r="D396" s="9"/>
      <c r="E396" s="9"/>
      <c r="F396" s="9"/>
      <c r="G396" s="9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7" customHeight="1">
      <c r="A397" s="7"/>
      <c r="B397" s="10"/>
      <c r="C397" s="9"/>
      <c r="D397" s="9"/>
      <c r="E397" s="9"/>
      <c r="F397" s="9"/>
      <c r="G397" s="9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7" customHeight="1">
      <c r="A398" s="7"/>
      <c r="B398" s="10"/>
      <c r="C398" s="9"/>
      <c r="D398" s="9"/>
      <c r="E398" s="9"/>
      <c r="F398" s="9"/>
      <c r="G398" s="9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7" customHeight="1">
      <c r="A399" s="7"/>
      <c r="B399" s="10"/>
      <c r="C399" s="9"/>
      <c r="D399" s="9"/>
      <c r="E399" s="9"/>
      <c r="F399" s="9"/>
      <c r="G399" s="9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7" customHeight="1">
      <c r="A400" s="7"/>
      <c r="B400" s="10"/>
      <c r="C400" s="9"/>
      <c r="D400" s="9"/>
      <c r="E400" s="9"/>
      <c r="F400" s="9"/>
      <c r="G400" s="9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7" customHeight="1">
      <c r="A401" s="7"/>
      <c r="B401" s="10"/>
      <c r="C401" s="9"/>
      <c r="D401" s="9"/>
      <c r="E401" s="9"/>
      <c r="F401" s="9"/>
      <c r="G401" s="9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7" customHeight="1">
      <c r="A402" s="7"/>
      <c r="B402" s="10"/>
      <c r="C402" s="9"/>
      <c r="D402" s="9"/>
      <c r="E402" s="9"/>
      <c r="F402" s="9"/>
      <c r="G402" s="9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7" customHeight="1">
      <c r="A403" s="7"/>
      <c r="B403" s="10"/>
      <c r="C403" s="9"/>
      <c r="D403" s="9"/>
      <c r="E403" s="9"/>
      <c r="F403" s="9"/>
      <c r="G403" s="9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7" customHeight="1">
      <c r="A404" s="7"/>
      <c r="B404" s="10"/>
      <c r="C404" s="9"/>
      <c r="D404" s="9"/>
      <c r="E404" s="9"/>
      <c r="F404" s="9"/>
      <c r="G404" s="9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7" customHeight="1">
      <c r="A405" s="7"/>
      <c r="B405" s="10"/>
      <c r="C405" s="9"/>
      <c r="D405" s="9"/>
      <c r="E405" s="9"/>
      <c r="F405" s="9"/>
      <c r="G405" s="9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7" customHeight="1">
      <c r="A406" s="7"/>
      <c r="B406" s="10"/>
      <c r="C406" s="9"/>
      <c r="D406" s="9"/>
      <c r="E406" s="9"/>
      <c r="F406" s="9"/>
      <c r="G406" s="9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7" customHeight="1">
      <c r="A407" s="7"/>
      <c r="B407" s="10"/>
      <c r="C407" s="9"/>
      <c r="D407" s="9"/>
      <c r="E407" s="9"/>
      <c r="F407" s="9"/>
      <c r="G407" s="9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7" customHeight="1">
      <c r="A408" s="7"/>
      <c r="B408" s="10"/>
      <c r="C408" s="9"/>
      <c r="D408" s="9"/>
      <c r="E408" s="9"/>
      <c r="F408" s="9"/>
      <c r="G408" s="9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7" customHeight="1">
      <c r="A409" s="7"/>
      <c r="B409" s="10"/>
      <c r="C409" s="9"/>
      <c r="D409" s="9"/>
      <c r="E409" s="9"/>
      <c r="F409" s="9"/>
      <c r="G409" s="9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7" customHeight="1">
      <c r="A410" s="7"/>
      <c r="B410" s="10"/>
      <c r="C410" s="9"/>
      <c r="D410" s="9"/>
      <c r="E410" s="9"/>
      <c r="F410" s="9"/>
      <c r="G410" s="9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7" customHeight="1">
      <c r="A411" s="7"/>
      <c r="B411" s="10"/>
      <c r="C411" s="9"/>
      <c r="D411" s="9"/>
      <c r="E411" s="9"/>
      <c r="F411" s="9"/>
      <c r="G411" s="9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7" customHeight="1">
      <c r="A412" s="7"/>
      <c r="B412" s="10"/>
      <c r="C412" s="9"/>
      <c r="D412" s="9"/>
      <c r="E412" s="9"/>
      <c r="F412" s="9"/>
      <c r="G412" s="9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7" customHeight="1">
      <c r="A413" s="7"/>
      <c r="B413" s="10"/>
      <c r="C413" s="9"/>
      <c r="D413" s="9"/>
      <c r="E413" s="9"/>
      <c r="F413" s="9"/>
      <c r="G413" s="9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7" customHeight="1">
      <c r="A414" s="7"/>
      <c r="B414" s="10"/>
      <c r="C414" s="9"/>
      <c r="D414" s="9"/>
      <c r="E414" s="9"/>
      <c r="F414" s="9"/>
      <c r="G414" s="9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7" customHeight="1">
      <c r="A415" s="7"/>
      <c r="B415" s="10"/>
      <c r="C415" s="9"/>
      <c r="D415" s="9"/>
      <c r="E415" s="9"/>
      <c r="F415" s="9"/>
      <c r="G415" s="9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7" customHeight="1">
      <c r="A416" s="7"/>
      <c r="B416" s="10"/>
      <c r="C416" s="9"/>
      <c r="D416" s="9"/>
      <c r="E416" s="9"/>
      <c r="F416" s="9"/>
      <c r="G416" s="9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7" customHeight="1">
      <c r="A417" s="7"/>
      <c r="B417" s="10"/>
      <c r="C417" s="9"/>
      <c r="D417" s="9"/>
      <c r="E417" s="9"/>
      <c r="F417" s="9"/>
      <c r="G417" s="9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7" customHeight="1">
      <c r="A418" s="7"/>
      <c r="B418" s="10"/>
      <c r="C418" s="9"/>
      <c r="D418" s="9"/>
      <c r="E418" s="9"/>
      <c r="F418" s="9"/>
      <c r="G418" s="9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7" customHeight="1">
      <c r="A419" s="7"/>
      <c r="B419" s="10"/>
      <c r="C419" s="9"/>
      <c r="D419" s="9"/>
      <c r="E419" s="9"/>
      <c r="F419" s="9"/>
      <c r="G419" s="9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7" customHeight="1">
      <c r="A420" s="7"/>
      <c r="B420" s="10"/>
      <c r="C420" s="9"/>
      <c r="D420" s="9"/>
      <c r="E420" s="9"/>
      <c r="F420" s="9"/>
      <c r="G420" s="9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7" customHeight="1">
      <c r="A421" s="7"/>
      <c r="B421" s="10"/>
      <c r="C421" s="9"/>
      <c r="D421" s="9"/>
      <c r="E421" s="9"/>
      <c r="F421" s="9"/>
      <c r="G421" s="9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7" customHeight="1">
      <c r="A422" s="7"/>
      <c r="B422" s="10"/>
      <c r="C422" s="9"/>
      <c r="D422" s="9"/>
      <c r="E422" s="9"/>
      <c r="F422" s="9"/>
      <c r="G422" s="9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7" customHeight="1">
      <c r="A423" s="7"/>
      <c r="B423" s="10"/>
      <c r="C423" s="9"/>
      <c r="D423" s="9"/>
      <c r="E423" s="9"/>
      <c r="F423" s="9"/>
      <c r="G423" s="9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7" customHeight="1">
      <c r="A424" s="7"/>
      <c r="B424" s="10"/>
      <c r="C424" s="9"/>
      <c r="D424" s="9"/>
      <c r="E424" s="9"/>
      <c r="F424" s="9"/>
      <c r="G424" s="9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7" customHeight="1">
      <c r="A425" s="7"/>
      <c r="B425" s="10"/>
      <c r="C425" s="9"/>
      <c r="D425" s="9"/>
      <c r="E425" s="9"/>
      <c r="F425" s="9"/>
      <c r="G425" s="9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7" customHeight="1">
      <c r="A426" s="7"/>
      <c r="B426" s="10"/>
      <c r="C426" s="9"/>
      <c r="D426" s="9"/>
      <c r="E426" s="9"/>
      <c r="F426" s="9"/>
      <c r="G426" s="9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7" customHeight="1">
      <c r="A427" s="7"/>
      <c r="B427" s="10"/>
      <c r="C427" s="9"/>
      <c r="D427" s="9"/>
      <c r="E427" s="9"/>
      <c r="F427" s="9"/>
      <c r="G427" s="9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7" customHeight="1">
      <c r="A428" s="7"/>
      <c r="B428" s="10"/>
      <c r="C428" s="9"/>
      <c r="D428" s="9"/>
      <c r="E428" s="9"/>
      <c r="F428" s="9"/>
      <c r="G428" s="9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7" customHeight="1">
      <c r="A429" s="7"/>
      <c r="B429" s="10"/>
      <c r="C429" s="9"/>
      <c r="D429" s="9"/>
      <c r="E429" s="9"/>
      <c r="F429" s="9"/>
      <c r="G429" s="9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7" customHeight="1">
      <c r="A430" s="7"/>
      <c r="B430" s="10"/>
      <c r="C430" s="9"/>
      <c r="D430" s="9"/>
      <c r="E430" s="9"/>
      <c r="F430" s="9"/>
      <c r="G430" s="9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7" customHeight="1">
      <c r="A431" s="7"/>
      <c r="B431" s="10"/>
      <c r="C431" s="9"/>
      <c r="D431" s="9"/>
      <c r="E431" s="9"/>
      <c r="F431" s="9"/>
      <c r="G431" s="9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7" customHeight="1">
      <c r="A432" s="7"/>
      <c r="B432" s="10"/>
      <c r="C432" s="9"/>
      <c r="D432" s="9"/>
      <c r="E432" s="9"/>
      <c r="F432" s="9"/>
      <c r="G432" s="9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7" customHeight="1">
      <c r="A433" s="7"/>
      <c r="B433" s="10"/>
      <c r="C433" s="9"/>
      <c r="D433" s="9"/>
      <c r="E433" s="9"/>
      <c r="F433" s="9"/>
      <c r="G433" s="9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7" customHeight="1">
      <c r="A434" s="7"/>
      <c r="B434" s="10"/>
      <c r="C434" s="9"/>
      <c r="D434" s="9"/>
      <c r="E434" s="9"/>
      <c r="F434" s="9"/>
      <c r="G434" s="9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7" customHeight="1">
      <c r="A435" s="7"/>
      <c r="B435" s="10"/>
      <c r="C435" s="9"/>
      <c r="D435" s="9"/>
      <c r="E435" s="9"/>
      <c r="F435" s="9"/>
      <c r="G435" s="9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7" customHeight="1">
      <c r="A436" s="7"/>
      <c r="B436" s="10"/>
      <c r="C436" s="9"/>
      <c r="D436" s="9"/>
      <c r="E436" s="9"/>
      <c r="F436" s="9"/>
      <c r="G436" s="9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7" customHeight="1">
      <c r="A437" s="7"/>
      <c r="B437" s="10"/>
      <c r="C437" s="9"/>
      <c r="D437" s="9"/>
      <c r="E437" s="9"/>
      <c r="F437" s="9"/>
      <c r="G437" s="9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7" customHeight="1">
      <c r="A438" s="7"/>
      <c r="B438" s="10"/>
      <c r="C438" s="9"/>
      <c r="D438" s="9"/>
      <c r="E438" s="9"/>
      <c r="F438" s="9"/>
      <c r="G438" s="9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7" customHeight="1">
      <c r="A439" s="7"/>
      <c r="B439" s="10"/>
      <c r="C439" s="9"/>
      <c r="D439" s="9"/>
      <c r="E439" s="9"/>
      <c r="F439" s="9"/>
      <c r="G439" s="9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7" customHeight="1">
      <c r="A440" s="7"/>
      <c r="B440" s="10"/>
      <c r="C440" s="9"/>
      <c r="D440" s="9"/>
      <c r="E440" s="9"/>
      <c r="F440" s="9"/>
      <c r="G440" s="9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7" customHeight="1">
      <c r="A441" s="7"/>
      <c r="B441" s="10"/>
      <c r="C441" s="9"/>
      <c r="D441" s="9"/>
      <c r="E441" s="9"/>
      <c r="F441" s="9"/>
      <c r="G441" s="9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7" customHeight="1">
      <c r="A442" s="7"/>
      <c r="B442" s="10"/>
      <c r="C442" s="9"/>
      <c r="D442" s="9"/>
      <c r="E442" s="9"/>
      <c r="F442" s="9"/>
      <c r="G442" s="9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7" customHeight="1">
      <c r="A443" s="7"/>
      <c r="B443" s="10"/>
      <c r="C443" s="9"/>
      <c r="D443" s="9"/>
      <c r="E443" s="9"/>
      <c r="F443" s="9"/>
      <c r="G443" s="9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7" customHeight="1">
      <c r="A444" s="7"/>
      <c r="B444" s="10"/>
      <c r="C444" s="9"/>
      <c r="D444" s="9"/>
      <c r="E444" s="9"/>
      <c r="F444" s="9"/>
      <c r="G444" s="9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7" customHeight="1">
      <c r="A445" s="7"/>
      <c r="B445" s="10"/>
      <c r="C445" s="9"/>
      <c r="D445" s="9"/>
      <c r="E445" s="9"/>
      <c r="F445" s="9"/>
      <c r="G445" s="9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7" customHeight="1">
      <c r="A446" s="7"/>
      <c r="B446" s="10"/>
      <c r="C446" s="9"/>
      <c r="D446" s="9"/>
      <c r="E446" s="9"/>
      <c r="F446" s="9"/>
      <c r="G446" s="9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7" customHeight="1">
      <c r="A447" s="7"/>
      <c r="B447" s="10"/>
      <c r="C447" s="9"/>
      <c r="D447" s="9"/>
      <c r="E447" s="9"/>
      <c r="F447" s="9"/>
      <c r="G447" s="9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7" customHeight="1">
      <c r="A448" s="7"/>
      <c r="B448" s="10"/>
      <c r="C448" s="9"/>
      <c r="D448" s="9"/>
      <c r="E448" s="9"/>
      <c r="F448" s="9"/>
      <c r="G448" s="9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7" customHeight="1">
      <c r="A449" s="7"/>
      <c r="B449" s="10"/>
      <c r="C449" s="9"/>
      <c r="D449" s="9"/>
      <c r="E449" s="9"/>
      <c r="F449" s="9"/>
      <c r="G449" s="9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7" customHeight="1">
      <c r="A450" s="7"/>
      <c r="B450" s="10"/>
      <c r="C450" s="9"/>
      <c r="D450" s="9"/>
      <c r="E450" s="9"/>
      <c r="F450" s="9"/>
      <c r="G450" s="9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7" customHeight="1">
      <c r="A451" s="7"/>
      <c r="B451" s="10"/>
      <c r="C451" s="9"/>
      <c r="D451" s="9"/>
      <c r="E451" s="9"/>
      <c r="F451" s="9"/>
      <c r="G451" s="9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7" customHeight="1">
      <c r="A452" s="7"/>
      <c r="B452" s="10"/>
      <c r="C452" s="9"/>
      <c r="D452" s="9"/>
      <c r="E452" s="9"/>
      <c r="F452" s="9"/>
      <c r="G452" s="9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7" customHeight="1">
      <c r="A453" s="7"/>
      <c r="B453" s="10"/>
      <c r="C453" s="9"/>
      <c r="D453" s="9"/>
      <c r="E453" s="9"/>
      <c r="F453" s="9"/>
      <c r="G453" s="9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7" customHeight="1">
      <c r="A454" s="7"/>
      <c r="B454" s="10"/>
      <c r="C454" s="9"/>
      <c r="D454" s="9"/>
      <c r="E454" s="9"/>
      <c r="F454" s="9"/>
      <c r="G454" s="9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7" customHeight="1">
      <c r="A455" s="7"/>
      <c r="B455" s="10"/>
      <c r="C455" s="9"/>
      <c r="D455" s="9"/>
      <c r="E455" s="9"/>
      <c r="F455" s="9"/>
      <c r="G455" s="9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7" customHeight="1">
      <c r="A456" s="7"/>
      <c r="B456" s="10"/>
      <c r="C456" s="9"/>
      <c r="D456" s="9"/>
      <c r="E456" s="9"/>
      <c r="F456" s="9"/>
      <c r="G456" s="9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7" customHeight="1">
      <c r="A457" s="7"/>
      <c r="B457" s="10"/>
      <c r="C457" s="9"/>
      <c r="D457" s="9"/>
      <c r="E457" s="9"/>
      <c r="F457" s="9"/>
      <c r="G457" s="9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7" customHeight="1">
      <c r="A458" s="7"/>
      <c r="B458" s="10"/>
      <c r="C458" s="9"/>
      <c r="D458" s="9"/>
      <c r="E458" s="9"/>
      <c r="F458" s="9"/>
      <c r="G458" s="9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7" customHeight="1">
      <c r="A459" s="7"/>
      <c r="B459" s="10"/>
      <c r="C459" s="9"/>
      <c r="D459" s="9"/>
      <c r="E459" s="9"/>
      <c r="F459" s="9"/>
      <c r="G459" s="9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7" customHeight="1">
      <c r="A460" s="7"/>
      <c r="B460" s="10"/>
      <c r="C460" s="9"/>
      <c r="D460" s="9"/>
      <c r="E460" s="9"/>
      <c r="F460" s="9"/>
      <c r="G460" s="9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7" customHeight="1">
      <c r="A461" s="7"/>
      <c r="B461" s="10"/>
      <c r="C461" s="9"/>
      <c r="D461" s="9"/>
      <c r="E461" s="9"/>
      <c r="F461" s="9"/>
      <c r="G461" s="9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7" customHeight="1">
      <c r="A462" s="7"/>
      <c r="B462" s="10"/>
      <c r="C462" s="9"/>
      <c r="D462" s="9"/>
      <c r="E462" s="9"/>
      <c r="F462" s="9"/>
      <c r="G462" s="9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7" customHeight="1">
      <c r="A463" s="7"/>
      <c r="B463" s="10"/>
      <c r="C463" s="9"/>
      <c r="D463" s="9"/>
      <c r="E463" s="9"/>
      <c r="F463" s="9"/>
      <c r="G463" s="9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7" customHeight="1">
      <c r="A464" s="7"/>
      <c r="B464" s="10"/>
      <c r="C464" s="9"/>
      <c r="D464" s="9"/>
      <c r="E464" s="9"/>
      <c r="F464" s="9"/>
      <c r="G464" s="9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7" customHeight="1">
      <c r="A465" s="7"/>
      <c r="B465" s="10"/>
      <c r="C465" s="9"/>
      <c r="D465" s="9"/>
      <c r="E465" s="9"/>
      <c r="F465" s="9"/>
      <c r="G465" s="9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7" customHeight="1">
      <c r="A466" s="7"/>
      <c r="B466" s="10"/>
      <c r="C466" s="9"/>
      <c r="D466" s="9"/>
      <c r="E466" s="9"/>
      <c r="F466" s="9"/>
      <c r="G466" s="9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7" customHeight="1">
      <c r="A467" s="7"/>
      <c r="B467" s="10"/>
      <c r="C467" s="9"/>
      <c r="D467" s="9"/>
      <c r="E467" s="9"/>
      <c r="F467" s="9"/>
      <c r="G467" s="9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7" customHeight="1">
      <c r="A468" s="7"/>
      <c r="B468" s="10"/>
      <c r="C468" s="9"/>
      <c r="D468" s="9"/>
      <c r="E468" s="9"/>
      <c r="F468" s="9"/>
      <c r="G468" s="9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7" customHeight="1">
      <c r="A469" s="7"/>
      <c r="B469" s="10"/>
      <c r="C469" s="9"/>
      <c r="D469" s="9"/>
      <c r="E469" s="9"/>
      <c r="F469" s="9"/>
      <c r="G469" s="9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7" customHeight="1">
      <c r="A470" s="7"/>
      <c r="B470" s="10"/>
      <c r="C470" s="9"/>
      <c r="D470" s="9"/>
      <c r="E470" s="9"/>
      <c r="F470" s="9"/>
      <c r="G470" s="9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7" customHeight="1">
      <c r="A471" s="7"/>
      <c r="B471" s="10"/>
      <c r="C471" s="9"/>
      <c r="D471" s="9"/>
      <c r="E471" s="9"/>
      <c r="F471" s="9"/>
      <c r="G471" s="9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7" customHeight="1">
      <c r="A472" s="7"/>
      <c r="B472" s="10"/>
      <c r="C472" s="9"/>
      <c r="D472" s="9"/>
      <c r="E472" s="9"/>
      <c r="F472" s="9"/>
      <c r="G472" s="9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7" customHeight="1">
      <c r="A473" s="7"/>
      <c r="B473" s="10"/>
      <c r="C473" s="9"/>
      <c r="D473" s="9"/>
      <c r="E473" s="9"/>
      <c r="F473" s="9"/>
      <c r="G473" s="9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7" customHeight="1">
      <c r="A474" s="7"/>
      <c r="B474" s="10"/>
      <c r="C474" s="9"/>
      <c r="D474" s="9"/>
      <c r="E474" s="9"/>
      <c r="F474" s="9"/>
      <c r="G474" s="9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7" customHeight="1">
      <c r="A475" s="7"/>
      <c r="B475" s="10"/>
      <c r="C475" s="9"/>
      <c r="D475" s="9"/>
      <c r="E475" s="9"/>
      <c r="F475" s="9"/>
      <c r="G475" s="9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7" customHeight="1">
      <c r="A476" s="7"/>
      <c r="B476" s="10"/>
      <c r="C476" s="9"/>
      <c r="D476" s="9"/>
      <c r="E476" s="9"/>
      <c r="F476" s="9"/>
      <c r="G476" s="9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7" customHeight="1">
      <c r="A477" s="7"/>
      <c r="B477" s="10"/>
      <c r="C477" s="9"/>
      <c r="D477" s="9"/>
      <c r="E477" s="9"/>
      <c r="F477" s="9"/>
      <c r="G477" s="9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7" customHeight="1">
      <c r="A478" s="7"/>
      <c r="B478" s="10"/>
      <c r="C478" s="9"/>
      <c r="D478" s="9"/>
      <c r="E478" s="9"/>
      <c r="F478" s="9"/>
      <c r="G478" s="9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7" customHeight="1">
      <c r="A479" s="7"/>
      <c r="B479" s="10"/>
      <c r="C479" s="9"/>
      <c r="D479" s="9"/>
      <c r="E479" s="9"/>
      <c r="F479" s="9"/>
      <c r="G479" s="9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7" customHeight="1">
      <c r="A480" s="7"/>
      <c r="B480" s="10"/>
      <c r="C480" s="9"/>
      <c r="D480" s="9"/>
      <c r="E480" s="9"/>
      <c r="F480" s="9"/>
      <c r="G480" s="9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7" customHeight="1">
      <c r="A481" s="7"/>
      <c r="B481" s="10"/>
      <c r="C481" s="9"/>
      <c r="D481" s="9"/>
      <c r="E481" s="9"/>
      <c r="F481" s="9"/>
      <c r="G481" s="9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7" customHeight="1">
      <c r="A482" s="7"/>
      <c r="B482" s="10"/>
      <c r="C482" s="9"/>
      <c r="D482" s="9"/>
      <c r="E482" s="9"/>
      <c r="F482" s="9"/>
      <c r="G482" s="9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7" customHeight="1">
      <c r="A483" s="7"/>
      <c r="B483" s="10"/>
      <c r="C483" s="9"/>
      <c r="D483" s="9"/>
      <c r="E483" s="9"/>
      <c r="F483" s="9"/>
      <c r="G483" s="9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7" customHeight="1">
      <c r="A484" s="7"/>
      <c r="B484" s="10"/>
      <c r="C484" s="9"/>
      <c r="D484" s="9"/>
      <c r="E484" s="9"/>
      <c r="F484" s="9"/>
      <c r="G484" s="9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7" customHeight="1">
      <c r="A485" s="7"/>
      <c r="B485" s="10"/>
      <c r="C485" s="9"/>
      <c r="D485" s="9"/>
      <c r="E485" s="9"/>
      <c r="F485" s="9"/>
      <c r="G485" s="9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7" customHeight="1">
      <c r="A486" s="7"/>
      <c r="B486" s="10"/>
      <c r="C486" s="9"/>
      <c r="D486" s="9"/>
      <c r="E486" s="9"/>
      <c r="F486" s="9"/>
      <c r="G486" s="9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7" customHeight="1">
      <c r="A487" s="7"/>
      <c r="B487" s="10"/>
      <c r="C487" s="9"/>
      <c r="D487" s="9"/>
      <c r="E487" s="9"/>
      <c r="F487" s="9"/>
      <c r="G487" s="9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7" customHeight="1">
      <c r="A488" s="7"/>
      <c r="B488" s="10"/>
      <c r="C488" s="9"/>
      <c r="D488" s="9"/>
      <c r="E488" s="9"/>
      <c r="F488" s="9"/>
      <c r="G488" s="9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7" customHeight="1">
      <c r="A489" s="7"/>
      <c r="B489" s="10"/>
      <c r="C489" s="9"/>
      <c r="D489" s="9"/>
      <c r="E489" s="9"/>
      <c r="F489" s="9"/>
      <c r="G489" s="9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7" customHeight="1">
      <c r="A490" s="7"/>
      <c r="B490" s="10"/>
      <c r="C490" s="9"/>
      <c r="D490" s="9"/>
      <c r="E490" s="9"/>
      <c r="F490" s="9"/>
      <c r="G490" s="9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7" customHeight="1">
      <c r="A491" s="7"/>
      <c r="B491" s="10"/>
      <c r="C491" s="9"/>
      <c r="D491" s="9"/>
      <c r="E491" s="9"/>
      <c r="F491" s="9"/>
      <c r="G491" s="9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7" customHeight="1">
      <c r="A492" s="7"/>
      <c r="B492" s="10"/>
      <c r="C492" s="9"/>
      <c r="D492" s="9"/>
      <c r="E492" s="9"/>
      <c r="F492" s="9"/>
      <c r="G492" s="9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7" customHeight="1">
      <c r="A493" s="7"/>
      <c r="B493" s="10"/>
      <c r="C493" s="9"/>
      <c r="D493" s="9"/>
      <c r="E493" s="9"/>
      <c r="F493" s="9"/>
      <c r="G493" s="9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7" customHeight="1">
      <c r="A494" s="7"/>
      <c r="B494" s="10"/>
      <c r="C494" s="9"/>
      <c r="D494" s="9"/>
      <c r="E494" s="9"/>
      <c r="F494" s="9"/>
      <c r="G494" s="9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7" customHeight="1">
      <c r="A495" s="7"/>
      <c r="B495" s="10"/>
      <c r="C495" s="9"/>
      <c r="D495" s="9"/>
      <c r="E495" s="9"/>
      <c r="F495" s="9"/>
      <c r="G495" s="9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7" customHeight="1">
      <c r="A496" s="7"/>
      <c r="B496" s="10"/>
      <c r="C496" s="9"/>
      <c r="D496" s="9"/>
      <c r="E496" s="9"/>
      <c r="F496" s="9"/>
      <c r="G496" s="9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7" customHeight="1">
      <c r="A497" s="7"/>
      <c r="B497" s="10"/>
      <c r="C497" s="9"/>
      <c r="D497" s="9"/>
      <c r="E497" s="9"/>
      <c r="F497" s="9"/>
      <c r="G497" s="9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7" customHeight="1">
      <c r="A498" s="7"/>
      <c r="B498" s="10"/>
      <c r="C498" s="9"/>
      <c r="D498" s="9"/>
      <c r="E498" s="9"/>
      <c r="F498" s="9"/>
      <c r="G498" s="9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7" customHeight="1">
      <c r="A499" s="7"/>
      <c r="B499" s="10"/>
      <c r="C499" s="9"/>
      <c r="D499" s="9"/>
      <c r="E499" s="9"/>
      <c r="F499" s="9"/>
      <c r="G499" s="9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7" customHeight="1">
      <c r="A500" s="7"/>
      <c r="B500" s="10"/>
      <c r="C500" s="9"/>
      <c r="D500" s="9"/>
      <c r="E500" s="9"/>
      <c r="F500" s="9"/>
      <c r="G500" s="9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7" customHeight="1">
      <c r="A501" s="7"/>
      <c r="B501" s="10"/>
      <c r="C501" s="9"/>
      <c r="D501" s="9"/>
      <c r="E501" s="9"/>
      <c r="F501" s="9"/>
      <c r="G501" s="9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7" customHeight="1">
      <c r="A502" s="7"/>
      <c r="B502" s="10"/>
      <c r="C502" s="9"/>
      <c r="D502" s="9"/>
      <c r="E502" s="9"/>
      <c r="F502" s="9"/>
      <c r="G502" s="9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7" customHeight="1">
      <c r="A503" s="7"/>
      <c r="B503" s="10"/>
      <c r="C503" s="9"/>
      <c r="D503" s="9"/>
      <c r="E503" s="9"/>
      <c r="F503" s="9"/>
      <c r="G503" s="9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7" customHeight="1">
      <c r="A504" s="7"/>
      <c r="B504" s="10"/>
      <c r="C504" s="9"/>
      <c r="D504" s="9"/>
      <c r="E504" s="9"/>
      <c r="F504" s="9"/>
      <c r="G504" s="9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7" customHeight="1">
      <c r="A505" s="7"/>
      <c r="B505" s="10"/>
      <c r="C505" s="9"/>
      <c r="D505" s="9"/>
      <c r="E505" s="9"/>
      <c r="F505" s="9"/>
      <c r="G505" s="9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7" customHeight="1">
      <c r="A506" s="7"/>
      <c r="B506" s="10"/>
      <c r="C506" s="9"/>
      <c r="D506" s="9"/>
      <c r="E506" s="9"/>
      <c r="F506" s="9"/>
      <c r="G506" s="9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7" customHeight="1">
      <c r="A507" s="7"/>
      <c r="B507" s="10"/>
      <c r="C507" s="9"/>
      <c r="D507" s="9"/>
      <c r="E507" s="9"/>
      <c r="F507" s="9"/>
      <c r="G507" s="9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7" customHeight="1">
      <c r="A508" s="7"/>
      <c r="B508" s="10"/>
      <c r="C508" s="9"/>
      <c r="D508" s="9"/>
      <c r="E508" s="9"/>
      <c r="F508" s="9"/>
      <c r="G508" s="9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7" customHeight="1">
      <c r="A509" s="7"/>
      <c r="B509" s="10"/>
      <c r="C509" s="9"/>
      <c r="D509" s="9"/>
      <c r="E509" s="9"/>
      <c r="F509" s="9"/>
      <c r="G509" s="9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7" customHeight="1">
      <c r="A510" s="7"/>
      <c r="B510" s="10"/>
      <c r="C510" s="9"/>
      <c r="D510" s="9"/>
      <c r="E510" s="9"/>
      <c r="F510" s="9"/>
      <c r="G510" s="9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7" customHeight="1">
      <c r="A511" s="7"/>
      <c r="B511" s="10"/>
      <c r="C511" s="9"/>
      <c r="D511" s="9"/>
      <c r="E511" s="9"/>
      <c r="F511" s="9"/>
      <c r="G511" s="9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7" customHeight="1">
      <c r="A512" s="7"/>
      <c r="B512" s="10"/>
      <c r="C512" s="9"/>
      <c r="D512" s="9"/>
      <c r="E512" s="9"/>
      <c r="F512" s="9"/>
      <c r="G512" s="9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7" customHeight="1">
      <c r="A513" s="7"/>
      <c r="B513" s="10"/>
      <c r="C513" s="9"/>
      <c r="D513" s="9"/>
      <c r="E513" s="9"/>
      <c r="F513" s="9"/>
      <c r="G513" s="9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7" customHeight="1">
      <c r="A514" s="7"/>
      <c r="B514" s="10"/>
      <c r="C514" s="9"/>
      <c r="D514" s="9"/>
      <c r="E514" s="9"/>
      <c r="F514" s="9"/>
      <c r="G514" s="9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7" customHeight="1">
      <c r="A515" s="7"/>
      <c r="B515" s="10"/>
      <c r="C515" s="9"/>
      <c r="D515" s="9"/>
      <c r="E515" s="9"/>
      <c r="F515" s="9"/>
      <c r="G515" s="9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7" customHeight="1">
      <c r="A516" s="7"/>
      <c r="B516" s="10"/>
      <c r="C516" s="9"/>
      <c r="D516" s="9"/>
      <c r="E516" s="9"/>
      <c r="F516" s="9"/>
      <c r="G516" s="9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7" customHeight="1">
      <c r="A517" s="7"/>
      <c r="B517" s="10"/>
      <c r="C517" s="9"/>
      <c r="D517" s="9"/>
      <c r="E517" s="9"/>
      <c r="F517" s="9"/>
      <c r="G517" s="9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7" customHeight="1">
      <c r="A518" s="7"/>
      <c r="B518" s="10"/>
      <c r="C518" s="9"/>
      <c r="D518" s="9"/>
      <c r="E518" s="9"/>
      <c r="F518" s="9"/>
      <c r="G518" s="9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7" customHeight="1">
      <c r="A519" s="7"/>
      <c r="B519" s="10"/>
      <c r="C519" s="9"/>
      <c r="D519" s="9"/>
      <c r="E519" s="9"/>
      <c r="F519" s="9"/>
      <c r="G519" s="9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7" customHeight="1">
      <c r="A520" s="7"/>
      <c r="B520" s="10"/>
      <c r="C520" s="9"/>
      <c r="D520" s="9"/>
      <c r="E520" s="9"/>
      <c r="F520" s="9"/>
      <c r="G520" s="9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7" customHeight="1">
      <c r="A521" s="7"/>
      <c r="B521" s="10"/>
      <c r="C521" s="9"/>
      <c r="D521" s="9"/>
      <c r="E521" s="9"/>
      <c r="F521" s="9"/>
      <c r="G521" s="9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7" customHeight="1">
      <c r="A522" s="7"/>
      <c r="B522" s="10"/>
      <c r="C522" s="9"/>
      <c r="D522" s="9"/>
      <c r="E522" s="9"/>
      <c r="F522" s="9"/>
      <c r="G522" s="9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7" customHeight="1">
      <c r="A523" s="7"/>
      <c r="B523" s="10"/>
      <c r="C523" s="9"/>
      <c r="D523" s="9"/>
      <c r="E523" s="9"/>
      <c r="F523" s="9"/>
      <c r="G523" s="9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7" customHeight="1">
      <c r="A524" s="7"/>
      <c r="B524" s="10"/>
      <c r="C524" s="9"/>
      <c r="D524" s="9"/>
      <c r="E524" s="9"/>
      <c r="F524" s="9"/>
      <c r="G524" s="9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7" customHeight="1">
      <c r="A525" s="7"/>
      <c r="B525" s="10"/>
      <c r="C525" s="9"/>
      <c r="D525" s="9"/>
      <c r="E525" s="9"/>
      <c r="F525" s="9"/>
      <c r="G525" s="9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7" customHeight="1">
      <c r="A526" s="7"/>
      <c r="B526" s="10"/>
      <c r="C526" s="9"/>
      <c r="D526" s="9"/>
      <c r="E526" s="9"/>
      <c r="F526" s="9"/>
      <c r="G526" s="9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7" customHeight="1">
      <c r="A527" s="7"/>
      <c r="B527" s="10"/>
      <c r="C527" s="9"/>
      <c r="D527" s="9"/>
      <c r="E527" s="9"/>
      <c r="F527" s="9"/>
      <c r="G527" s="9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7" customHeight="1">
      <c r="A528" s="7"/>
      <c r="B528" s="10"/>
      <c r="C528" s="9"/>
      <c r="D528" s="9"/>
      <c r="E528" s="9"/>
      <c r="F528" s="9"/>
      <c r="G528" s="9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7" customHeight="1">
      <c r="A529" s="7"/>
      <c r="B529" s="10"/>
      <c r="C529" s="9"/>
      <c r="D529" s="9"/>
      <c r="E529" s="9"/>
      <c r="F529" s="9"/>
      <c r="G529" s="9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7" customHeight="1">
      <c r="A530" s="7"/>
      <c r="B530" s="10"/>
      <c r="C530" s="9"/>
      <c r="D530" s="9"/>
      <c r="E530" s="9"/>
      <c r="F530" s="9"/>
      <c r="G530" s="9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7" customHeight="1">
      <c r="A531" s="7"/>
      <c r="B531" s="10"/>
      <c r="C531" s="9"/>
      <c r="D531" s="9"/>
      <c r="E531" s="9"/>
      <c r="F531" s="9"/>
      <c r="G531" s="9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7" customHeight="1">
      <c r="A532" s="7"/>
      <c r="B532" s="10"/>
      <c r="C532" s="9"/>
      <c r="D532" s="9"/>
      <c r="E532" s="9"/>
      <c r="F532" s="9"/>
      <c r="G532" s="9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7" customHeight="1">
      <c r="A533" s="7"/>
      <c r="B533" s="10"/>
      <c r="C533" s="9"/>
      <c r="D533" s="9"/>
      <c r="E533" s="9"/>
      <c r="F533" s="9"/>
      <c r="G533" s="9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7" customHeight="1">
      <c r="A534" s="7"/>
      <c r="B534" s="10"/>
      <c r="C534" s="9"/>
      <c r="D534" s="9"/>
      <c r="E534" s="9"/>
      <c r="F534" s="9"/>
      <c r="G534" s="9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7" customHeight="1">
      <c r="A535" s="7"/>
      <c r="B535" s="10"/>
      <c r="C535" s="9"/>
      <c r="D535" s="9"/>
      <c r="E535" s="9"/>
      <c r="F535" s="9"/>
      <c r="G535" s="9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7" customHeight="1">
      <c r="A536" s="7"/>
      <c r="B536" s="10"/>
      <c r="C536" s="9"/>
      <c r="D536" s="9"/>
      <c r="E536" s="9"/>
      <c r="F536" s="9"/>
      <c r="G536" s="9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7" customHeight="1">
      <c r="A537" s="7"/>
      <c r="B537" s="10"/>
      <c r="C537" s="9"/>
      <c r="D537" s="9"/>
      <c r="E537" s="9"/>
      <c r="F537" s="9"/>
      <c r="G537" s="9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7" customHeight="1">
      <c r="A538" s="7"/>
      <c r="B538" s="10"/>
      <c r="C538" s="9"/>
      <c r="D538" s="9"/>
      <c r="E538" s="9"/>
      <c r="F538" s="9"/>
      <c r="G538" s="9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7" customHeight="1">
      <c r="A539" s="7"/>
      <c r="B539" s="10"/>
      <c r="C539" s="9"/>
      <c r="D539" s="9"/>
      <c r="E539" s="9"/>
      <c r="F539" s="9"/>
      <c r="G539" s="9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7" customHeight="1">
      <c r="A540" s="7"/>
      <c r="B540" s="10"/>
      <c r="C540" s="9"/>
      <c r="D540" s="9"/>
      <c r="E540" s="9"/>
      <c r="F540" s="9"/>
      <c r="G540" s="9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7" customHeight="1">
      <c r="A541" s="7"/>
      <c r="B541" s="10"/>
      <c r="C541" s="9"/>
      <c r="D541" s="9"/>
      <c r="E541" s="9"/>
      <c r="F541" s="9"/>
      <c r="G541" s="9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7" customHeight="1">
      <c r="A542" s="7"/>
      <c r="B542" s="10"/>
      <c r="C542" s="9"/>
      <c r="D542" s="9"/>
      <c r="E542" s="9"/>
      <c r="F542" s="9"/>
      <c r="G542" s="9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7" customHeight="1">
      <c r="A543" s="7"/>
      <c r="B543" s="10"/>
      <c r="C543" s="9"/>
      <c r="D543" s="9"/>
      <c r="E543" s="9"/>
      <c r="F543" s="9"/>
      <c r="G543" s="9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7" customHeight="1">
      <c r="A544" s="7"/>
      <c r="B544" s="10"/>
      <c r="C544" s="9"/>
      <c r="D544" s="9"/>
      <c r="E544" s="9"/>
      <c r="F544" s="9"/>
      <c r="G544" s="9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7" customHeight="1">
      <c r="A545" s="7"/>
      <c r="B545" s="10"/>
      <c r="C545" s="9"/>
      <c r="D545" s="9"/>
      <c r="E545" s="9"/>
      <c r="F545" s="9"/>
      <c r="G545" s="9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7" customHeight="1">
      <c r="A546" s="7"/>
      <c r="B546" s="10"/>
      <c r="C546" s="9"/>
      <c r="D546" s="9"/>
      <c r="E546" s="9"/>
      <c r="F546" s="9"/>
      <c r="G546" s="9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7" customHeight="1">
      <c r="A547" s="7"/>
      <c r="B547" s="10"/>
      <c r="C547" s="9"/>
      <c r="D547" s="9"/>
      <c r="E547" s="9"/>
      <c r="F547" s="9"/>
      <c r="G547" s="9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7" customHeight="1">
      <c r="A548" s="7"/>
      <c r="B548" s="10"/>
      <c r="C548" s="9"/>
      <c r="D548" s="9"/>
      <c r="E548" s="9"/>
      <c r="F548" s="9"/>
      <c r="G548" s="9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7" customHeight="1">
      <c r="A549" s="7"/>
      <c r="B549" s="10"/>
      <c r="C549" s="9"/>
      <c r="D549" s="9"/>
      <c r="E549" s="9"/>
      <c r="F549" s="9"/>
      <c r="G549" s="9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7" customHeight="1">
      <c r="A550" s="7"/>
      <c r="B550" s="10"/>
      <c r="C550" s="9"/>
      <c r="D550" s="9"/>
      <c r="E550" s="9"/>
      <c r="F550" s="9"/>
      <c r="G550" s="9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7" customHeight="1">
      <c r="A551" s="7"/>
      <c r="B551" s="10"/>
      <c r="C551" s="9"/>
      <c r="D551" s="9"/>
      <c r="E551" s="9"/>
      <c r="F551" s="9"/>
      <c r="G551" s="9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7" customHeight="1">
      <c r="A552" s="7"/>
      <c r="B552" s="10"/>
      <c r="C552" s="9"/>
      <c r="D552" s="9"/>
      <c r="E552" s="9"/>
      <c r="F552" s="9"/>
      <c r="G552" s="9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7" customHeight="1">
      <c r="A553" s="7"/>
      <c r="B553" s="10"/>
      <c r="C553" s="9"/>
      <c r="D553" s="9"/>
      <c r="E553" s="9"/>
      <c r="F553" s="9"/>
      <c r="G553" s="9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7" customHeight="1">
      <c r="A554" s="7"/>
      <c r="B554" s="10"/>
      <c r="C554" s="9"/>
      <c r="D554" s="9"/>
      <c r="E554" s="9"/>
      <c r="F554" s="9"/>
      <c r="G554" s="9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7" customHeight="1">
      <c r="A555" s="7"/>
      <c r="B555" s="10"/>
      <c r="C555" s="9"/>
      <c r="D555" s="9"/>
      <c r="E555" s="9"/>
      <c r="F555" s="9"/>
      <c r="G555" s="9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7" customHeight="1">
      <c r="A556" s="7"/>
      <c r="B556" s="10"/>
      <c r="C556" s="9"/>
      <c r="D556" s="9"/>
      <c r="E556" s="9"/>
      <c r="F556" s="9"/>
      <c r="G556" s="9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7" customHeight="1">
      <c r="A557" s="7"/>
      <c r="B557" s="10"/>
      <c r="C557" s="9"/>
      <c r="D557" s="9"/>
      <c r="E557" s="9"/>
      <c r="F557" s="9"/>
      <c r="G557" s="9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7" customHeight="1">
      <c r="A558" s="7"/>
      <c r="B558" s="10"/>
      <c r="C558" s="9"/>
      <c r="D558" s="9"/>
      <c r="E558" s="9"/>
      <c r="F558" s="9"/>
      <c r="G558" s="9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7" customHeight="1">
      <c r="A559" s="7"/>
      <c r="B559" s="10"/>
      <c r="C559" s="9"/>
      <c r="D559" s="9"/>
      <c r="E559" s="9"/>
      <c r="F559" s="9"/>
      <c r="G559" s="9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7" customHeight="1">
      <c r="A560" s="7"/>
      <c r="B560" s="10"/>
      <c r="C560" s="9"/>
      <c r="D560" s="9"/>
      <c r="E560" s="9"/>
      <c r="F560" s="9"/>
      <c r="G560" s="9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7" customHeight="1">
      <c r="A561" s="7"/>
      <c r="B561" s="10"/>
      <c r="C561" s="9"/>
      <c r="D561" s="9"/>
      <c r="E561" s="9"/>
      <c r="F561" s="9"/>
      <c r="G561" s="9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7" customHeight="1">
      <c r="A562" s="7"/>
      <c r="B562" s="10"/>
      <c r="C562" s="9"/>
      <c r="D562" s="9"/>
      <c r="E562" s="9"/>
      <c r="F562" s="9"/>
      <c r="G562" s="9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7" customHeight="1">
      <c r="A563" s="7"/>
      <c r="B563" s="10"/>
      <c r="C563" s="9"/>
      <c r="D563" s="9"/>
      <c r="E563" s="9"/>
      <c r="F563" s="9"/>
      <c r="G563" s="9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7" customHeight="1">
      <c r="A564" s="7"/>
      <c r="B564" s="10"/>
      <c r="C564" s="9"/>
      <c r="D564" s="9"/>
      <c r="E564" s="9"/>
      <c r="F564" s="9"/>
      <c r="G564" s="9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7" customHeight="1">
      <c r="A565" s="7"/>
      <c r="B565" s="10"/>
      <c r="C565" s="9"/>
      <c r="D565" s="9"/>
      <c r="E565" s="9"/>
      <c r="F565" s="9"/>
      <c r="G565" s="9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7" customHeight="1">
      <c r="A566" s="7"/>
      <c r="B566" s="10"/>
      <c r="C566" s="9"/>
      <c r="D566" s="9"/>
      <c r="E566" s="9"/>
      <c r="F566" s="9"/>
      <c r="G566" s="9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7" customHeight="1">
      <c r="A567" s="7"/>
      <c r="B567" s="10"/>
      <c r="C567" s="9"/>
      <c r="D567" s="9"/>
      <c r="E567" s="9"/>
      <c r="F567" s="9"/>
      <c r="G567" s="9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7" customHeight="1">
      <c r="A568" s="7"/>
      <c r="B568" s="10"/>
      <c r="C568" s="9"/>
      <c r="D568" s="9"/>
      <c r="E568" s="9"/>
      <c r="F568" s="9"/>
      <c r="G568" s="9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7" customHeight="1">
      <c r="A569" s="7"/>
      <c r="B569" s="10"/>
      <c r="C569" s="9"/>
      <c r="D569" s="9"/>
      <c r="E569" s="9"/>
      <c r="F569" s="9"/>
      <c r="G569" s="9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7" customHeight="1">
      <c r="A570" s="7"/>
      <c r="B570" s="10"/>
      <c r="C570" s="9"/>
      <c r="D570" s="9"/>
      <c r="E570" s="9"/>
      <c r="F570" s="9"/>
      <c r="G570" s="9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7" customHeight="1">
      <c r="A571" s="7"/>
      <c r="B571" s="10"/>
      <c r="C571" s="9"/>
      <c r="D571" s="9"/>
      <c r="E571" s="9"/>
      <c r="F571" s="9"/>
      <c r="G571" s="9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7" customHeight="1">
      <c r="A572" s="7"/>
      <c r="B572" s="10"/>
      <c r="C572" s="9"/>
      <c r="D572" s="9"/>
      <c r="E572" s="9"/>
      <c r="F572" s="9"/>
      <c r="G572" s="9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7" customHeight="1">
      <c r="A573" s="7"/>
      <c r="B573" s="10"/>
      <c r="C573" s="9"/>
      <c r="D573" s="9"/>
      <c r="E573" s="9"/>
      <c r="F573" s="9"/>
      <c r="G573" s="9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7" customHeight="1">
      <c r="A574" s="7"/>
      <c r="B574" s="10"/>
      <c r="C574" s="9"/>
      <c r="D574" s="9"/>
      <c r="E574" s="9"/>
      <c r="F574" s="9"/>
      <c r="G574" s="9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7" customHeight="1">
      <c r="A575" s="7"/>
      <c r="B575" s="10"/>
      <c r="C575" s="9"/>
      <c r="D575" s="9"/>
      <c r="E575" s="9"/>
      <c r="F575" s="9"/>
      <c r="G575" s="9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7" customHeight="1">
      <c r="A576" s="7"/>
      <c r="B576" s="10"/>
      <c r="C576" s="9"/>
      <c r="D576" s="9"/>
      <c r="E576" s="9"/>
      <c r="F576" s="9"/>
      <c r="G576" s="9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7" customHeight="1">
      <c r="A577" s="7"/>
      <c r="B577" s="10"/>
      <c r="C577" s="9"/>
      <c r="D577" s="9"/>
      <c r="E577" s="9"/>
      <c r="F577" s="9"/>
      <c r="G577" s="9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7" customHeight="1">
      <c r="A578" s="7"/>
      <c r="B578" s="10"/>
      <c r="C578" s="9"/>
      <c r="D578" s="9"/>
      <c r="E578" s="9"/>
      <c r="F578" s="9"/>
      <c r="G578" s="9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7" customHeight="1">
      <c r="A579" s="7"/>
      <c r="B579" s="10"/>
      <c r="C579" s="9"/>
      <c r="D579" s="9"/>
      <c r="E579" s="9"/>
      <c r="F579" s="9"/>
      <c r="G579" s="9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7" customHeight="1">
      <c r="A580" s="7"/>
      <c r="B580" s="10"/>
      <c r="C580" s="9"/>
      <c r="D580" s="9"/>
      <c r="E580" s="9"/>
      <c r="F580" s="9"/>
      <c r="G580" s="9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7" customHeight="1">
      <c r="A581" s="7"/>
      <c r="B581" s="10"/>
      <c r="C581" s="9"/>
      <c r="D581" s="9"/>
      <c r="E581" s="9"/>
      <c r="F581" s="9"/>
      <c r="G581" s="9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7" customHeight="1">
      <c r="A582" s="7"/>
      <c r="B582" s="10"/>
      <c r="C582" s="9"/>
      <c r="D582" s="9"/>
      <c r="E582" s="9"/>
      <c r="F582" s="9"/>
      <c r="G582" s="9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7" customHeight="1">
      <c r="A583" s="7"/>
      <c r="B583" s="10"/>
      <c r="C583" s="9"/>
      <c r="D583" s="9"/>
      <c r="E583" s="9"/>
      <c r="F583" s="9"/>
      <c r="G583" s="9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7" customHeight="1">
      <c r="A584" s="7"/>
      <c r="B584" s="10"/>
      <c r="C584" s="9"/>
      <c r="D584" s="9"/>
      <c r="E584" s="9"/>
      <c r="F584" s="9"/>
      <c r="G584" s="9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7" customHeight="1">
      <c r="A585" s="7"/>
      <c r="B585" s="10"/>
      <c r="C585" s="9"/>
      <c r="D585" s="9"/>
      <c r="E585" s="9"/>
      <c r="F585" s="9"/>
      <c r="G585" s="9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7" customHeight="1">
      <c r="A586" s="7"/>
      <c r="B586" s="10"/>
      <c r="C586" s="9"/>
      <c r="D586" s="9"/>
      <c r="E586" s="9"/>
      <c r="F586" s="9"/>
      <c r="G586" s="9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7" customHeight="1">
      <c r="A587" s="7"/>
      <c r="B587" s="10"/>
      <c r="C587" s="9"/>
      <c r="D587" s="9"/>
      <c r="E587" s="9"/>
      <c r="F587" s="9"/>
      <c r="G587" s="9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7" customHeight="1">
      <c r="A588" s="7"/>
      <c r="B588" s="10"/>
      <c r="C588" s="9"/>
      <c r="D588" s="9"/>
      <c r="E588" s="9"/>
      <c r="F588" s="9"/>
      <c r="G588" s="9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7" customHeight="1">
      <c r="A589" s="7"/>
      <c r="B589" s="10"/>
      <c r="C589" s="9"/>
      <c r="D589" s="9"/>
      <c r="E589" s="9"/>
      <c r="F589" s="9"/>
      <c r="G589" s="9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7" customHeight="1">
      <c r="A590" s="7"/>
      <c r="B590" s="10"/>
      <c r="C590" s="9"/>
      <c r="D590" s="9"/>
      <c r="E590" s="9"/>
      <c r="F590" s="9"/>
      <c r="G590" s="9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7" customHeight="1">
      <c r="A591" s="7"/>
      <c r="B591" s="10"/>
      <c r="C591" s="9"/>
      <c r="D591" s="9"/>
      <c r="E591" s="9"/>
      <c r="F591" s="9"/>
      <c r="G591" s="9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7" customHeight="1">
      <c r="A592" s="7"/>
      <c r="B592" s="10"/>
      <c r="C592" s="9"/>
      <c r="D592" s="9"/>
      <c r="E592" s="9"/>
      <c r="F592" s="9"/>
      <c r="G592" s="9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7" customHeight="1">
      <c r="A593" s="7"/>
      <c r="B593" s="10"/>
      <c r="C593" s="9"/>
      <c r="D593" s="9"/>
      <c r="E593" s="9"/>
      <c r="F593" s="9"/>
      <c r="G593" s="9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7" customHeight="1">
      <c r="A594" s="7"/>
      <c r="B594" s="10"/>
      <c r="C594" s="9"/>
      <c r="D594" s="9"/>
      <c r="E594" s="9"/>
      <c r="F594" s="9"/>
      <c r="G594" s="9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7" customHeight="1">
      <c r="A595" s="7"/>
      <c r="B595" s="10"/>
      <c r="C595" s="9"/>
      <c r="D595" s="9"/>
      <c r="E595" s="9"/>
      <c r="F595" s="9"/>
      <c r="G595" s="9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7" customHeight="1">
      <c r="A596" s="7"/>
      <c r="B596" s="10"/>
      <c r="C596" s="9"/>
      <c r="D596" s="9"/>
      <c r="E596" s="9"/>
      <c r="F596" s="9"/>
      <c r="G596" s="9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7" customHeight="1">
      <c r="A597" s="7"/>
      <c r="B597" s="10"/>
      <c r="C597" s="9"/>
      <c r="D597" s="9"/>
      <c r="E597" s="9"/>
      <c r="F597" s="9"/>
      <c r="G597" s="9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7" customHeight="1">
      <c r="A598" s="7"/>
      <c r="B598" s="10"/>
      <c r="C598" s="9"/>
      <c r="D598" s="9"/>
      <c r="E598" s="9"/>
      <c r="F598" s="9"/>
      <c r="G598" s="9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7" customHeight="1">
      <c r="A599" s="7"/>
      <c r="B599" s="10"/>
      <c r="C599" s="9"/>
      <c r="D599" s="9"/>
      <c r="E599" s="9"/>
      <c r="F599" s="9"/>
      <c r="G599" s="9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7" customHeight="1">
      <c r="A600" s="7"/>
      <c r="B600" s="10"/>
      <c r="C600" s="9"/>
      <c r="D600" s="9"/>
      <c r="E600" s="9"/>
      <c r="F600" s="9"/>
      <c r="G600" s="9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7" customHeight="1">
      <c r="A601" s="7"/>
      <c r="B601" s="10"/>
      <c r="C601" s="9"/>
      <c r="D601" s="9"/>
      <c r="E601" s="9"/>
      <c r="F601" s="9"/>
      <c r="G601" s="9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7" customHeight="1">
      <c r="A602" s="7"/>
      <c r="B602" s="10"/>
      <c r="C602" s="9"/>
      <c r="D602" s="9"/>
      <c r="E602" s="9"/>
      <c r="F602" s="9"/>
      <c r="G602" s="9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7" customHeight="1">
      <c r="A603" s="7"/>
      <c r="B603" s="10"/>
      <c r="C603" s="9"/>
      <c r="D603" s="9"/>
      <c r="E603" s="9"/>
      <c r="F603" s="9"/>
      <c r="G603" s="9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7" customHeight="1">
      <c r="A604" s="7"/>
      <c r="B604" s="10"/>
      <c r="C604" s="9"/>
      <c r="D604" s="9"/>
      <c r="E604" s="9"/>
      <c r="F604" s="9"/>
      <c r="G604" s="9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7" customHeight="1">
      <c r="A605" s="7"/>
      <c r="B605" s="10"/>
      <c r="C605" s="9"/>
      <c r="D605" s="9"/>
      <c r="E605" s="9"/>
      <c r="F605" s="9"/>
      <c r="G605" s="9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7" customHeight="1">
      <c r="A606" s="7"/>
      <c r="B606" s="10"/>
      <c r="C606" s="9"/>
      <c r="D606" s="9"/>
      <c r="E606" s="9"/>
      <c r="F606" s="9"/>
      <c r="G606" s="9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7" customHeight="1">
      <c r="A607" s="7"/>
      <c r="B607" s="10"/>
      <c r="C607" s="9"/>
      <c r="D607" s="9"/>
      <c r="E607" s="9"/>
      <c r="F607" s="9"/>
      <c r="G607" s="9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7" customHeight="1">
      <c r="A608" s="7"/>
      <c r="B608" s="10"/>
      <c r="C608" s="9"/>
      <c r="D608" s="9"/>
      <c r="E608" s="9"/>
      <c r="F608" s="9"/>
      <c r="G608" s="9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7" customHeight="1">
      <c r="A609" s="7"/>
      <c r="B609" s="10"/>
      <c r="C609" s="9"/>
      <c r="D609" s="9"/>
      <c r="E609" s="9"/>
      <c r="F609" s="9"/>
      <c r="G609" s="9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7" customHeight="1">
      <c r="A610" s="7"/>
      <c r="B610" s="10"/>
      <c r="C610" s="9"/>
      <c r="D610" s="9"/>
      <c r="E610" s="9"/>
      <c r="F610" s="9"/>
      <c r="G610" s="9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7" customHeight="1">
      <c r="A611" s="7"/>
      <c r="B611" s="10"/>
      <c r="C611" s="9"/>
      <c r="D611" s="9"/>
      <c r="E611" s="9"/>
      <c r="F611" s="9"/>
      <c r="G611" s="9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7" customHeight="1">
      <c r="A612" s="7"/>
      <c r="B612" s="10"/>
      <c r="C612" s="9"/>
      <c r="D612" s="9"/>
      <c r="E612" s="9"/>
      <c r="F612" s="9"/>
      <c r="G612" s="9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7" customHeight="1">
      <c r="A613" s="7"/>
      <c r="B613" s="10"/>
      <c r="C613" s="9"/>
      <c r="D613" s="9"/>
      <c r="E613" s="9"/>
      <c r="F613" s="9"/>
      <c r="G613" s="9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7" customHeight="1">
      <c r="A614" s="7"/>
      <c r="B614" s="10"/>
      <c r="C614" s="9"/>
      <c r="D614" s="9"/>
      <c r="E614" s="9"/>
      <c r="F614" s="9"/>
      <c r="G614" s="9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7" customHeight="1">
      <c r="A615" s="7"/>
      <c r="B615" s="10"/>
      <c r="C615" s="9"/>
      <c r="D615" s="9"/>
      <c r="E615" s="9"/>
      <c r="F615" s="9"/>
      <c r="G615" s="9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7" customHeight="1">
      <c r="A616" s="7"/>
      <c r="B616" s="10"/>
      <c r="C616" s="9"/>
      <c r="D616" s="9"/>
      <c r="E616" s="9"/>
      <c r="F616" s="9"/>
      <c r="G616" s="9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7" customHeight="1">
      <c r="A617" s="7"/>
      <c r="B617" s="10"/>
      <c r="C617" s="9"/>
      <c r="D617" s="9"/>
      <c r="E617" s="9"/>
      <c r="F617" s="9"/>
      <c r="G617" s="9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7" customHeight="1">
      <c r="A618" s="7"/>
      <c r="B618" s="10"/>
      <c r="C618" s="9"/>
      <c r="D618" s="9"/>
      <c r="E618" s="9"/>
      <c r="F618" s="9"/>
      <c r="G618" s="9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7" customHeight="1">
      <c r="A619" s="7"/>
      <c r="B619" s="10"/>
      <c r="C619" s="9"/>
      <c r="D619" s="9"/>
      <c r="E619" s="9"/>
      <c r="F619" s="9"/>
      <c r="G619" s="9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7" customHeight="1">
      <c r="A620" s="7"/>
      <c r="B620" s="10"/>
      <c r="C620" s="9"/>
      <c r="D620" s="9"/>
      <c r="E620" s="9"/>
      <c r="F620" s="9"/>
      <c r="G620" s="9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7" customHeight="1">
      <c r="A621" s="7"/>
      <c r="B621" s="10"/>
      <c r="C621" s="9"/>
      <c r="D621" s="9"/>
      <c r="E621" s="9"/>
      <c r="F621" s="9"/>
      <c r="G621" s="9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7" customHeight="1">
      <c r="A622" s="7"/>
      <c r="B622" s="10"/>
      <c r="C622" s="9"/>
      <c r="D622" s="9"/>
      <c r="E622" s="9"/>
      <c r="F622" s="9"/>
      <c r="G622" s="9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7" customHeight="1">
      <c r="A623" s="7"/>
      <c r="B623" s="10"/>
      <c r="C623" s="9"/>
      <c r="D623" s="9"/>
      <c r="E623" s="9"/>
      <c r="F623" s="9"/>
      <c r="G623" s="9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7" customHeight="1">
      <c r="A624" s="7"/>
      <c r="B624" s="10"/>
      <c r="C624" s="9"/>
      <c r="D624" s="9"/>
      <c r="E624" s="9"/>
      <c r="F624" s="9"/>
      <c r="G624" s="9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7" customHeight="1">
      <c r="A625" s="7"/>
      <c r="B625" s="10"/>
      <c r="C625" s="9"/>
      <c r="D625" s="9"/>
      <c r="E625" s="9"/>
      <c r="F625" s="9"/>
      <c r="G625" s="9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7" customHeight="1">
      <c r="A626" s="7"/>
      <c r="B626" s="10"/>
      <c r="C626" s="9"/>
      <c r="D626" s="9"/>
      <c r="E626" s="9"/>
      <c r="F626" s="9"/>
      <c r="G626" s="9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7" customHeight="1">
      <c r="A627" s="7"/>
      <c r="B627" s="10"/>
      <c r="C627" s="9"/>
      <c r="D627" s="9"/>
      <c r="E627" s="9"/>
      <c r="F627" s="9"/>
      <c r="G627" s="9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7" customHeight="1">
      <c r="A628" s="7"/>
      <c r="B628" s="10"/>
      <c r="C628" s="9"/>
      <c r="D628" s="9"/>
      <c r="E628" s="9"/>
      <c r="F628" s="9"/>
      <c r="G628" s="9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7" customHeight="1">
      <c r="A629" s="7"/>
      <c r="B629" s="10"/>
      <c r="C629" s="9"/>
      <c r="D629" s="9"/>
      <c r="E629" s="9"/>
      <c r="F629" s="9"/>
      <c r="G629" s="9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7" customHeight="1">
      <c r="A630" s="7"/>
      <c r="B630" s="10"/>
      <c r="C630" s="9"/>
      <c r="D630" s="9"/>
      <c r="E630" s="9"/>
      <c r="F630" s="9"/>
      <c r="G630" s="9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7" customHeight="1">
      <c r="A631" s="7"/>
      <c r="B631" s="10"/>
      <c r="C631" s="9"/>
      <c r="D631" s="9"/>
      <c r="E631" s="9"/>
      <c r="F631" s="9"/>
      <c r="G631" s="9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7" customHeight="1">
      <c r="A632" s="7"/>
      <c r="B632" s="10"/>
      <c r="C632" s="9"/>
      <c r="D632" s="9"/>
      <c r="E632" s="9"/>
      <c r="F632" s="9"/>
      <c r="G632" s="9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7" customHeight="1">
      <c r="A633" s="7"/>
      <c r="B633" s="10"/>
      <c r="C633" s="9"/>
      <c r="D633" s="9"/>
      <c r="E633" s="9"/>
      <c r="F633" s="9"/>
      <c r="G633" s="9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7" customHeight="1">
      <c r="A634" s="7"/>
      <c r="B634" s="10"/>
      <c r="C634" s="9"/>
      <c r="D634" s="9"/>
      <c r="E634" s="9"/>
      <c r="F634" s="9"/>
      <c r="G634" s="9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7" customHeight="1">
      <c r="A635" s="7"/>
      <c r="B635" s="10"/>
      <c r="C635" s="9"/>
      <c r="D635" s="9"/>
      <c r="E635" s="9"/>
      <c r="F635" s="9"/>
      <c r="G635" s="9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7" customHeight="1">
      <c r="A636" s="7"/>
      <c r="B636" s="10"/>
      <c r="C636" s="9"/>
      <c r="D636" s="9"/>
      <c r="E636" s="9"/>
      <c r="F636" s="9"/>
      <c r="G636" s="9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7" customHeight="1">
      <c r="A637" s="7"/>
      <c r="B637" s="10"/>
      <c r="C637" s="9"/>
      <c r="D637" s="9"/>
      <c r="E637" s="9"/>
      <c r="F637" s="9"/>
      <c r="G637" s="9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7" customHeight="1">
      <c r="A638" s="7"/>
      <c r="B638" s="10"/>
      <c r="C638" s="9"/>
      <c r="D638" s="9"/>
      <c r="E638" s="9"/>
      <c r="F638" s="9"/>
      <c r="G638" s="9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7" customHeight="1">
      <c r="A639" s="7"/>
      <c r="B639" s="10"/>
      <c r="C639" s="9"/>
      <c r="D639" s="9"/>
      <c r="E639" s="9"/>
      <c r="F639" s="9"/>
      <c r="G639" s="9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7" customHeight="1">
      <c r="A640" s="7"/>
      <c r="B640" s="10"/>
      <c r="C640" s="9"/>
      <c r="D640" s="9"/>
      <c r="E640" s="9"/>
      <c r="F640" s="9"/>
      <c r="G640" s="9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7" customHeight="1">
      <c r="A641" s="7"/>
      <c r="B641" s="10"/>
      <c r="C641" s="9"/>
      <c r="D641" s="9"/>
      <c r="E641" s="9"/>
      <c r="F641" s="9"/>
      <c r="G641" s="9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7" customHeight="1">
      <c r="A642" s="7"/>
      <c r="B642" s="10"/>
      <c r="C642" s="9"/>
      <c r="D642" s="9"/>
      <c r="E642" s="9"/>
      <c r="F642" s="9"/>
      <c r="G642" s="9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7" customHeight="1">
      <c r="A643" s="7"/>
      <c r="B643" s="10"/>
      <c r="C643" s="9"/>
      <c r="D643" s="9"/>
      <c r="E643" s="9"/>
      <c r="F643" s="9"/>
      <c r="G643" s="9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7" customHeight="1">
      <c r="A644" s="7"/>
      <c r="B644" s="10"/>
      <c r="C644" s="9"/>
      <c r="D644" s="9"/>
      <c r="E644" s="9"/>
      <c r="F644" s="9"/>
      <c r="G644" s="9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7" customHeight="1">
      <c r="A645" s="7"/>
      <c r="B645" s="10"/>
      <c r="C645" s="9"/>
      <c r="D645" s="9"/>
      <c r="E645" s="9"/>
      <c r="F645" s="9"/>
      <c r="G645" s="9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7" customHeight="1">
      <c r="A646" s="7"/>
      <c r="B646" s="10"/>
      <c r="C646" s="9"/>
      <c r="D646" s="9"/>
      <c r="E646" s="9"/>
      <c r="F646" s="9"/>
      <c r="G646" s="9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7" customHeight="1">
      <c r="A647" s="7"/>
      <c r="B647" s="10"/>
      <c r="C647" s="9"/>
      <c r="D647" s="9"/>
      <c r="E647" s="9"/>
      <c r="F647" s="9"/>
      <c r="G647" s="9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7" customHeight="1">
      <c r="A648" s="7"/>
      <c r="B648" s="10"/>
      <c r="C648" s="9"/>
      <c r="D648" s="9"/>
      <c r="E648" s="9"/>
      <c r="F648" s="9"/>
      <c r="G648" s="9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7" customHeight="1">
      <c r="A649" s="7"/>
      <c r="B649" s="10"/>
      <c r="C649" s="9"/>
      <c r="D649" s="9"/>
      <c r="E649" s="9"/>
      <c r="F649" s="9"/>
      <c r="G649" s="9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7" customHeight="1">
      <c r="A650" s="7"/>
      <c r="B650" s="10"/>
      <c r="C650" s="9"/>
      <c r="D650" s="9"/>
      <c r="E650" s="9"/>
      <c r="F650" s="9"/>
      <c r="G650" s="9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7" customHeight="1">
      <c r="A651" s="7"/>
      <c r="B651" s="10"/>
      <c r="C651" s="9"/>
      <c r="D651" s="9"/>
      <c r="E651" s="9"/>
      <c r="F651" s="9"/>
      <c r="G651" s="9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7" customHeight="1">
      <c r="A652" s="7"/>
      <c r="B652" s="10"/>
      <c r="C652" s="9"/>
      <c r="D652" s="9"/>
      <c r="E652" s="9"/>
      <c r="F652" s="9"/>
      <c r="G652" s="9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7" customHeight="1">
      <c r="A653" s="7"/>
      <c r="B653" s="10"/>
      <c r="C653" s="9"/>
      <c r="D653" s="9"/>
      <c r="E653" s="9"/>
      <c r="F653" s="9"/>
      <c r="G653" s="9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7" customHeight="1">
      <c r="A654" s="7"/>
      <c r="B654" s="10"/>
      <c r="C654" s="9"/>
      <c r="D654" s="9"/>
      <c r="E654" s="9"/>
      <c r="F654" s="9"/>
      <c r="G654" s="9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7" customHeight="1">
      <c r="A655" s="7"/>
      <c r="B655" s="10"/>
      <c r="C655" s="9"/>
      <c r="D655" s="9"/>
      <c r="E655" s="9"/>
      <c r="F655" s="9"/>
      <c r="G655" s="9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7" customHeight="1">
      <c r="A656" s="7"/>
      <c r="B656" s="10"/>
      <c r="C656" s="9"/>
      <c r="D656" s="9"/>
      <c r="E656" s="9"/>
      <c r="F656" s="9"/>
      <c r="G656" s="9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7" customHeight="1">
      <c r="A657" s="7"/>
      <c r="B657" s="10"/>
      <c r="C657" s="9"/>
      <c r="D657" s="9"/>
      <c r="E657" s="9"/>
      <c r="F657" s="9"/>
      <c r="G657" s="9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7" customHeight="1">
      <c r="A658" s="7"/>
      <c r="B658" s="10"/>
      <c r="C658" s="9"/>
      <c r="D658" s="9"/>
      <c r="E658" s="9"/>
      <c r="F658" s="9"/>
      <c r="G658" s="9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7" customHeight="1">
      <c r="A659" s="7"/>
      <c r="B659" s="10"/>
      <c r="C659" s="9"/>
      <c r="D659" s="9"/>
      <c r="E659" s="9"/>
      <c r="F659" s="9"/>
      <c r="G659" s="9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7" customHeight="1">
      <c r="A660" s="7"/>
      <c r="B660" s="10"/>
      <c r="C660" s="9"/>
      <c r="D660" s="9"/>
      <c r="E660" s="9"/>
      <c r="F660" s="9"/>
      <c r="G660" s="9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7" customHeight="1">
      <c r="A661" s="7"/>
      <c r="B661" s="10"/>
      <c r="C661" s="9"/>
      <c r="D661" s="9"/>
      <c r="E661" s="9"/>
      <c r="F661" s="9"/>
      <c r="G661" s="9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7" customHeight="1">
      <c r="A662" s="7"/>
      <c r="B662" s="10"/>
      <c r="C662" s="9"/>
      <c r="D662" s="9"/>
      <c r="E662" s="9"/>
      <c r="F662" s="9"/>
      <c r="G662" s="9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7" customHeight="1">
      <c r="A663" s="7"/>
      <c r="B663" s="10"/>
      <c r="C663" s="9"/>
      <c r="D663" s="9"/>
      <c r="E663" s="9"/>
      <c r="F663" s="9"/>
      <c r="G663" s="9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7" customHeight="1">
      <c r="A664" s="7"/>
      <c r="B664" s="10"/>
      <c r="C664" s="9"/>
      <c r="D664" s="9"/>
      <c r="E664" s="9"/>
      <c r="F664" s="9"/>
      <c r="G664" s="9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7" customHeight="1">
      <c r="A665" s="7"/>
      <c r="B665" s="10"/>
      <c r="C665" s="9"/>
      <c r="D665" s="9"/>
      <c r="E665" s="9"/>
      <c r="F665" s="9"/>
      <c r="G665" s="9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7" customHeight="1">
      <c r="A666" s="7"/>
      <c r="B666" s="10"/>
      <c r="C666" s="9"/>
      <c r="D666" s="9"/>
      <c r="E666" s="9"/>
      <c r="F666" s="9"/>
      <c r="G666" s="9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7" customHeight="1">
      <c r="A667" s="7"/>
      <c r="B667" s="10"/>
      <c r="C667" s="9"/>
      <c r="D667" s="9"/>
      <c r="E667" s="9"/>
      <c r="F667" s="9"/>
      <c r="G667" s="9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7" customHeight="1">
      <c r="A668" s="7"/>
      <c r="B668" s="10"/>
      <c r="C668" s="9"/>
      <c r="D668" s="9"/>
      <c r="E668" s="9"/>
      <c r="F668" s="9"/>
      <c r="G668" s="9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7" customHeight="1">
      <c r="A669" s="7"/>
      <c r="B669" s="10"/>
      <c r="C669" s="9"/>
      <c r="D669" s="9"/>
      <c r="E669" s="9"/>
      <c r="F669" s="9"/>
      <c r="G669" s="9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7" customHeight="1">
      <c r="A670" s="7"/>
      <c r="B670" s="10"/>
      <c r="C670" s="9"/>
      <c r="D670" s="9"/>
      <c r="E670" s="9"/>
      <c r="F670" s="9"/>
      <c r="G670" s="9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7" customHeight="1">
      <c r="A671" s="7"/>
      <c r="B671" s="10"/>
      <c r="C671" s="9"/>
      <c r="D671" s="9"/>
      <c r="E671" s="9"/>
      <c r="F671" s="9"/>
      <c r="G671" s="9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7" customHeight="1">
      <c r="A672" s="7"/>
      <c r="B672" s="10"/>
      <c r="C672" s="9"/>
      <c r="D672" s="9"/>
      <c r="E672" s="9"/>
      <c r="F672" s="9"/>
      <c r="G672" s="9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7" customHeight="1">
      <c r="A673" s="7"/>
      <c r="B673" s="10"/>
      <c r="C673" s="9"/>
      <c r="D673" s="9"/>
      <c r="E673" s="9"/>
      <c r="F673" s="9"/>
      <c r="G673" s="9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7" customHeight="1">
      <c r="A674" s="7"/>
      <c r="B674" s="10"/>
      <c r="C674" s="9"/>
      <c r="D674" s="9"/>
      <c r="E674" s="9"/>
      <c r="F674" s="9"/>
      <c r="G674" s="9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7" customHeight="1">
      <c r="A675" s="7"/>
      <c r="B675" s="10"/>
      <c r="C675" s="9"/>
      <c r="D675" s="9"/>
      <c r="E675" s="9"/>
      <c r="F675" s="9"/>
      <c r="G675" s="9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7" customHeight="1">
      <c r="A676" s="7"/>
      <c r="B676" s="10"/>
      <c r="C676" s="9"/>
      <c r="D676" s="9"/>
      <c r="E676" s="9"/>
      <c r="F676" s="9"/>
      <c r="G676" s="9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7" customHeight="1">
      <c r="A677" s="7"/>
      <c r="B677" s="10"/>
      <c r="C677" s="9"/>
      <c r="D677" s="9"/>
      <c r="E677" s="9"/>
      <c r="F677" s="9"/>
      <c r="G677" s="9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7" customHeight="1">
      <c r="A678" s="7"/>
      <c r="B678" s="10"/>
      <c r="C678" s="9"/>
      <c r="D678" s="9"/>
      <c r="E678" s="9"/>
      <c r="F678" s="9"/>
      <c r="G678" s="9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7" customHeight="1">
      <c r="A679" s="7"/>
      <c r="B679" s="10"/>
      <c r="C679" s="9"/>
      <c r="D679" s="9"/>
      <c r="E679" s="9"/>
      <c r="F679" s="9"/>
      <c r="G679" s="9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7" customHeight="1">
      <c r="A680" s="7"/>
      <c r="B680" s="10"/>
      <c r="C680" s="9"/>
      <c r="D680" s="9"/>
      <c r="E680" s="9"/>
      <c r="F680" s="9"/>
      <c r="G680" s="9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7" customHeight="1">
      <c r="A681" s="7"/>
      <c r="B681" s="10"/>
      <c r="C681" s="9"/>
      <c r="D681" s="9"/>
      <c r="E681" s="9"/>
      <c r="F681" s="9"/>
      <c r="G681" s="9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7" customHeight="1">
      <c r="A682" s="7"/>
      <c r="B682" s="10"/>
      <c r="C682" s="9"/>
      <c r="D682" s="9"/>
      <c r="E682" s="9"/>
      <c r="F682" s="9"/>
      <c r="G682" s="9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7" customHeight="1">
      <c r="A683" s="7"/>
      <c r="B683" s="10"/>
      <c r="C683" s="9"/>
      <c r="D683" s="9"/>
      <c r="E683" s="9"/>
      <c r="F683" s="9"/>
      <c r="G683" s="9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7" customHeight="1">
      <c r="A684" s="7"/>
      <c r="B684" s="10"/>
      <c r="C684" s="9"/>
      <c r="D684" s="9"/>
      <c r="E684" s="9"/>
      <c r="F684" s="9"/>
      <c r="G684" s="9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7" customHeight="1">
      <c r="A685" s="7"/>
      <c r="B685" s="10"/>
      <c r="C685" s="9"/>
      <c r="D685" s="9"/>
      <c r="E685" s="9"/>
      <c r="F685" s="9"/>
      <c r="G685" s="9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7" customHeight="1">
      <c r="A686" s="7"/>
      <c r="B686" s="10"/>
      <c r="C686" s="9"/>
      <c r="D686" s="9"/>
      <c r="E686" s="9"/>
      <c r="F686" s="9"/>
      <c r="G686" s="9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7" customHeight="1">
      <c r="A687" s="7"/>
      <c r="B687" s="10"/>
      <c r="C687" s="9"/>
      <c r="D687" s="9"/>
      <c r="E687" s="9"/>
      <c r="F687" s="9"/>
      <c r="G687" s="9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7" customHeight="1">
      <c r="A688" s="7"/>
      <c r="B688" s="10"/>
      <c r="C688" s="9"/>
      <c r="D688" s="9"/>
      <c r="E688" s="9"/>
      <c r="F688" s="9"/>
      <c r="G688" s="9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7" customHeight="1">
      <c r="A689" s="7"/>
      <c r="B689" s="10"/>
      <c r="C689" s="9"/>
      <c r="D689" s="9"/>
      <c r="E689" s="9"/>
      <c r="F689" s="9"/>
      <c r="G689" s="9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7" customHeight="1">
      <c r="A690" s="7"/>
      <c r="B690" s="10"/>
      <c r="C690" s="9"/>
      <c r="D690" s="9"/>
      <c r="E690" s="9"/>
      <c r="F690" s="9"/>
      <c r="G690" s="9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7" customHeight="1">
      <c r="A691" s="7"/>
      <c r="B691" s="10"/>
      <c r="C691" s="9"/>
      <c r="D691" s="9"/>
      <c r="E691" s="9"/>
      <c r="F691" s="9"/>
      <c r="G691" s="9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7" customHeight="1">
      <c r="A692" s="7"/>
      <c r="B692" s="10"/>
      <c r="C692" s="9"/>
      <c r="D692" s="9"/>
      <c r="E692" s="9"/>
      <c r="F692" s="9"/>
      <c r="G692" s="9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7" customHeight="1">
      <c r="A693" s="7"/>
      <c r="B693" s="10"/>
      <c r="C693" s="9"/>
      <c r="D693" s="9"/>
      <c r="E693" s="9"/>
      <c r="F693" s="9"/>
      <c r="G693" s="9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7" customHeight="1">
      <c r="A694" s="7"/>
      <c r="B694" s="10"/>
      <c r="C694" s="9"/>
      <c r="D694" s="9"/>
      <c r="E694" s="9"/>
      <c r="F694" s="9"/>
      <c r="G694" s="9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7" customHeight="1">
      <c r="A695" s="7"/>
      <c r="B695" s="10"/>
      <c r="C695" s="9"/>
      <c r="D695" s="9"/>
      <c r="E695" s="9"/>
      <c r="F695" s="9"/>
      <c r="G695" s="9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7" customHeight="1">
      <c r="A696" s="7"/>
      <c r="B696" s="10"/>
      <c r="C696" s="9"/>
      <c r="D696" s="9"/>
      <c r="E696" s="9"/>
      <c r="F696" s="9"/>
      <c r="G696" s="9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7" customHeight="1">
      <c r="A697" s="7"/>
      <c r="B697" s="10"/>
      <c r="C697" s="9"/>
      <c r="D697" s="9"/>
      <c r="E697" s="9"/>
      <c r="F697" s="9"/>
      <c r="G697" s="9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7" customHeight="1">
      <c r="A698" s="7"/>
      <c r="B698" s="10"/>
      <c r="C698" s="9"/>
      <c r="D698" s="9"/>
      <c r="E698" s="9"/>
      <c r="F698" s="9"/>
      <c r="G698" s="9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7" customHeight="1">
      <c r="A699" s="7"/>
      <c r="B699" s="10"/>
      <c r="C699" s="9"/>
      <c r="D699" s="9"/>
      <c r="E699" s="9"/>
      <c r="F699" s="9"/>
      <c r="G699" s="9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7" customHeight="1">
      <c r="A700" s="7"/>
      <c r="B700" s="10"/>
      <c r="C700" s="9"/>
      <c r="D700" s="9"/>
      <c r="E700" s="9"/>
      <c r="F700" s="9"/>
      <c r="G700" s="9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7" customHeight="1">
      <c r="A701" s="7"/>
      <c r="B701" s="10"/>
      <c r="C701" s="9"/>
      <c r="D701" s="9"/>
      <c r="E701" s="9"/>
      <c r="F701" s="9"/>
      <c r="G701" s="9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7" customHeight="1">
      <c r="A702" s="7"/>
      <c r="B702" s="10"/>
      <c r="C702" s="9"/>
      <c r="D702" s="9"/>
      <c r="E702" s="9"/>
      <c r="F702" s="9"/>
      <c r="G702" s="9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7" customHeight="1">
      <c r="A703" s="7"/>
      <c r="B703" s="10"/>
      <c r="C703" s="9"/>
      <c r="D703" s="9"/>
      <c r="E703" s="9"/>
      <c r="F703" s="9"/>
      <c r="G703" s="9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7" customHeight="1">
      <c r="A704" s="7"/>
      <c r="B704" s="10"/>
      <c r="C704" s="9"/>
      <c r="D704" s="9"/>
      <c r="E704" s="9"/>
      <c r="F704" s="9"/>
      <c r="G704" s="9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7" customHeight="1">
      <c r="A705" s="7"/>
      <c r="B705" s="10"/>
      <c r="C705" s="9"/>
      <c r="D705" s="9"/>
      <c r="E705" s="9"/>
      <c r="F705" s="9"/>
      <c r="G705" s="9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7" customHeight="1">
      <c r="A706" s="7"/>
      <c r="B706" s="10"/>
      <c r="C706" s="9"/>
      <c r="D706" s="9"/>
      <c r="E706" s="9"/>
      <c r="F706" s="9"/>
      <c r="G706" s="9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7" customHeight="1">
      <c r="A707" s="7"/>
      <c r="B707" s="10"/>
      <c r="C707" s="9"/>
      <c r="D707" s="9"/>
      <c r="E707" s="9"/>
      <c r="F707" s="9"/>
      <c r="G707" s="9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7" customHeight="1">
      <c r="A708" s="7"/>
      <c r="B708" s="10"/>
      <c r="C708" s="9"/>
      <c r="D708" s="9"/>
      <c r="E708" s="9"/>
      <c r="F708" s="9"/>
      <c r="G708" s="9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7" customHeight="1">
      <c r="A709" s="7"/>
      <c r="B709" s="10"/>
      <c r="C709" s="9"/>
      <c r="D709" s="9"/>
      <c r="E709" s="9"/>
      <c r="F709" s="9"/>
      <c r="G709" s="9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7" customHeight="1">
      <c r="A710" s="7"/>
      <c r="B710" s="10"/>
      <c r="C710" s="9"/>
      <c r="D710" s="9"/>
      <c r="E710" s="9"/>
      <c r="F710" s="9"/>
      <c r="G710" s="9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7" customHeight="1">
      <c r="A711" s="7"/>
      <c r="B711" s="10"/>
      <c r="C711" s="9"/>
      <c r="D711" s="9"/>
      <c r="E711" s="9"/>
      <c r="F711" s="9"/>
      <c r="G711" s="9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7" customHeight="1">
      <c r="A712" s="7"/>
      <c r="B712" s="10"/>
      <c r="C712" s="9"/>
      <c r="D712" s="9"/>
      <c r="E712" s="9"/>
      <c r="F712" s="9"/>
      <c r="G712" s="9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7" customHeight="1">
      <c r="A713" s="7"/>
      <c r="B713" s="10"/>
      <c r="C713" s="9"/>
      <c r="D713" s="9"/>
      <c r="E713" s="9"/>
      <c r="F713" s="9"/>
      <c r="G713" s="9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7" customHeight="1">
      <c r="A714" s="7"/>
      <c r="B714" s="10"/>
      <c r="C714" s="9"/>
      <c r="D714" s="9"/>
      <c r="E714" s="9"/>
      <c r="F714" s="9"/>
      <c r="G714" s="9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7" customHeight="1">
      <c r="A715" s="7"/>
      <c r="B715" s="10"/>
      <c r="C715" s="9"/>
      <c r="D715" s="9"/>
      <c r="E715" s="9"/>
      <c r="F715" s="9"/>
      <c r="G715" s="9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7" customHeight="1">
      <c r="A716" s="7"/>
      <c r="B716" s="10"/>
      <c r="C716" s="9"/>
      <c r="D716" s="9"/>
      <c r="E716" s="9"/>
      <c r="F716" s="9"/>
      <c r="G716" s="9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7" customHeight="1">
      <c r="A717" s="7"/>
      <c r="B717" s="10"/>
      <c r="C717" s="9"/>
      <c r="D717" s="9"/>
      <c r="E717" s="9"/>
      <c r="F717" s="9"/>
      <c r="G717" s="9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7" customHeight="1">
      <c r="A718" s="7"/>
      <c r="B718" s="10"/>
      <c r="C718" s="9"/>
      <c r="D718" s="9"/>
      <c r="E718" s="9"/>
      <c r="F718" s="9"/>
      <c r="G718" s="9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7" customHeight="1">
      <c r="A719" s="7"/>
      <c r="B719" s="10"/>
      <c r="C719" s="9"/>
      <c r="D719" s="9"/>
      <c r="E719" s="9"/>
      <c r="F719" s="9"/>
      <c r="G719" s="9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7" customHeight="1">
      <c r="A720" s="7"/>
      <c r="B720" s="10"/>
      <c r="C720" s="9"/>
      <c r="D720" s="9"/>
      <c r="E720" s="9"/>
      <c r="F720" s="9"/>
      <c r="G720" s="9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7" customHeight="1">
      <c r="A721" s="7"/>
      <c r="B721" s="10"/>
      <c r="C721" s="9"/>
      <c r="D721" s="9"/>
      <c r="E721" s="9"/>
      <c r="F721" s="9"/>
      <c r="G721" s="9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7" customHeight="1">
      <c r="A722" s="7"/>
      <c r="B722" s="10"/>
      <c r="C722" s="9"/>
      <c r="D722" s="9"/>
      <c r="E722" s="9"/>
      <c r="F722" s="9"/>
      <c r="G722" s="9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7" customHeight="1">
      <c r="A723" s="7"/>
      <c r="B723" s="10"/>
      <c r="C723" s="9"/>
      <c r="D723" s="9"/>
      <c r="E723" s="9"/>
      <c r="F723" s="9"/>
      <c r="G723" s="9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7" customHeight="1">
      <c r="A724" s="7"/>
      <c r="B724" s="10"/>
      <c r="C724" s="9"/>
      <c r="D724" s="9"/>
      <c r="E724" s="9"/>
      <c r="F724" s="9"/>
      <c r="G724" s="9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7" customHeight="1">
      <c r="A725" s="7"/>
      <c r="B725" s="10"/>
      <c r="C725" s="9"/>
      <c r="D725" s="9"/>
      <c r="E725" s="9"/>
      <c r="F725" s="9"/>
      <c r="G725" s="9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7" customHeight="1">
      <c r="A726" s="7"/>
      <c r="B726" s="10"/>
      <c r="C726" s="9"/>
      <c r="D726" s="9"/>
      <c r="E726" s="9"/>
      <c r="F726" s="9"/>
      <c r="G726" s="9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7" customHeight="1">
      <c r="A727" s="7"/>
      <c r="B727" s="10"/>
      <c r="C727" s="9"/>
      <c r="D727" s="9"/>
      <c r="E727" s="9"/>
      <c r="F727" s="9"/>
      <c r="G727" s="9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7" customHeight="1">
      <c r="A728" s="7"/>
      <c r="B728" s="10"/>
      <c r="C728" s="9"/>
      <c r="D728" s="9"/>
      <c r="E728" s="9"/>
      <c r="F728" s="9"/>
      <c r="G728" s="9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7" customHeight="1">
      <c r="A729" s="7"/>
      <c r="B729" s="10"/>
      <c r="C729" s="9"/>
      <c r="D729" s="9"/>
      <c r="E729" s="9"/>
      <c r="F729" s="9"/>
      <c r="G729" s="9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7" customHeight="1">
      <c r="A730" s="7"/>
      <c r="B730" s="10"/>
      <c r="C730" s="9"/>
      <c r="D730" s="9"/>
      <c r="E730" s="9"/>
      <c r="F730" s="9"/>
      <c r="G730" s="9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7" customHeight="1">
      <c r="A731" s="7"/>
      <c r="B731" s="10"/>
      <c r="C731" s="9"/>
      <c r="D731" s="9"/>
      <c r="E731" s="9"/>
      <c r="F731" s="9"/>
      <c r="G731" s="9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7" customHeight="1">
      <c r="A732" s="7"/>
      <c r="B732" s="10"/>
      <c r="C732" s="9"/>
      <c r="D732" s="9"/>
      <c r="E732" s="9"/>
      <c r="F732" s="9"/>
      <c r="G732" s="9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7" customHeight="1">
      <c r="A733" s="7"/>
      <c r="B733" s="10"/>
      <c r="C733" s="9"/>
      <c r="D733" s="9"/>
      <c r="E733" s="9"/>
      <c r="F733" s="9"/>
      <c r="G733" s="9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7" customHeight="1">
      <c r="A734" s="7"/>
      <c r="B734" s="10"/>
      <c r="C734" s="9"/>
      <c r="D734" s="9"/>
      <c r="E734" s="9"/>
      <c r="F734" s="9"/>
      <c r="G734" s="9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7" customHeight="1">
      <c r="A735" s="7"/>
      <c r="B735" s="10"/>
      <c r="C735" s="9"/>
      <c r="D735" s="9"/>
      <c r="E735" s="9"/>
      <c r="F735" s="9"/>
      <c r="G735" s="9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7" customHeight="1">
      <c r="A736" s="7"/>
      <c r="B736" s="10"/>
      <c r="C736" s="9"/>
      <c r="D736" s="9"/>
      <c r="E736" s="9"/>
      <c r="F736" s="9"/>
      <c r="G736" s="9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7" customHeight="1">
      <c r="A737" s="7"/>
      <c r="B737" s="10"/>
      <c r="C737" s="9"/>
      <c r="D737" s="9"/>
      <c r="E737" s="9"/>
      <c r="F737" s="9"/>
      <c r="G737" s="9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7" customHeight="1">
      <c r="A738" s="7"/>
      <c r="B738" s="10"/>
      <c r="C738" s="9"/>
      <c r="D738" s="9"/>
      <c r="E738" s="9"/>
      <c r="F738" s="9"/>
      <c r="G738" s="9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7" customHeight="1">
      <c r="A739" s="7"/>
      <c r="B739" s="10"/>
      <c r="C739" s="9"/>
      <c r="D739" s="9"/>
      <c r="E739" s="9"/>
      <c r="F739" s="9"/>
      <c r="G739" s="9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7" customHeight="1">
      <c r="A740" s="7"/>
      <c r="B740" s="10"/>
      <c r="C740" s="9"/>
      <c r="D740" s="9"/>
      <c r="E740" s="9"/>
      <c r="F740" s="9"/>
      <c r="G740" s="9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7" customHeight="1">
      <c r="A741" s="7"/>
      <c r="B741" s="10"/>
      <c r="C741" s="9"/>
      <c r="D741" s="9"/>
      <c r="E741" s="9"/>
      <c r="F741" s="9"/>
      <c r="G741" s="9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7" customHeight="1">
      <c r="A742" s="7"/>
      <c r="B742" s="10"/>
      <c r="C742" s="9"/>
      <c r="D742" s="9"/>
      <c r="E742" s="9"/>
      <c r="F742" s="9"/>
      <c r="G742" s="9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7" customHeight="1">
      <c r="A743" s="7"/>
      <c r="B743" s="10"/>
      <c r="C743" s="9"/>
      <c r="D743" s="9"/>
      <c r="E743" s="9"/>
      <c r="F743" s="9"/>
      <c r="G743" s="9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7" customHeight="1">
      <c r="A744" s="7"/>
      <c r="B744" s="10"/>
      <c r="C744" s="9"/>
      <c r="D744" s="9"/>
      <c r="E744" s="9"/>
      <c r="F744" s="9"/>
      <c r="G744" s="9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7" customHeight="1">
      <c r="A745" s="7"/>
      <c r="B745" s="10"/>
      <c r="C745" s="9"/>
      <c r="D745" s="9"/>
      <c r="E745" s="9"/>
      <c r="F745" s="9"/>
      <c r="G745" s="9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7" customHeight="1">
      <c r="A746" s="7"/>
      <c r="B746" s="10"/>
      <c r="C746" s="9"/>
      <c r="D746" s="9"/>
      <c r="E746" s="9"/>
      <c r="F746" s="9"/>
      <c r="G746" s="9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7" customHeight="1">
      <c r="A747" s="7"/>
      <c r="B747" s="10"/>
      <c r="C747" s="9"/>
      <c r="D747" s="9"/>
      <c r="E747" s="9"/>
      <c r="F747" s="9"/>
      <c r="G747" s="9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7" customHeight="1">
      <c r="A748" s="7"/>
      <c r="B748" s="10"/>
      <c r="C748" s="9"/>
      <c r="D748" s="9"/>
      <c r="E748" s="9"/>
      <c r="F748" s="9"/>
      <c r="G748" s="9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7" customHeight="1">
      <c r="A749" s="7"/>
      <c r="B749" s="10"/>
      <c r="C749" s="9"/>
      <c r="D749" s="9"/>
      <c r="E749" s="9"/>
      <c r="F749" s="9"/>
      <c r="G749" s="9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7" customHeight="1">
      <c r="A750" s="7"/>
      <c r="B750" s="10"/>
      <c r="C750" s="9"/>
      <c r="D750" s="9"/>
      <c r="E750" s="9"/>
      <c r="F750" s="9"/>
      <c r="G750" s="9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7" customHeight="1">
      <c r="A751" s="7"/>
      <c r="B751" s="10"/>
      <c r="C751" s="9"/>
      <c r="D751" s="9"/>
      <c r="E751" s="9"/>
      <c r="F751" s="9"/>
      <c r="G751" s="9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7" customHeight="1">
      <c r="A752" s="7"/>
      <c r="B752" s="10"/>
      <c r="C752" s="9"/>
      <c r="D752" s="9"/>
      <c r="E752" s="9"/>
      <c r="F752" s="9"/>
      <c r="G752" s="9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7" customHeight="1">
      <c r="A753" s="7"/>
      <c r="B753" s="10"/>
      <c r="C753" s="9"/>
      <c r="D753" s="9"/>
      <c r="E753" s="9"/>
      <c r="F753" s="9"/>
      <c r="G753" s="9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7" customHeight="1">
      <c r="A754" s="7"/>
      <c r="B754" s="10"/>
      <c r="C754" s="9"/>
      <c r="D754" s="9"/>
      <c r="E754" s="9"/>
      <c r="F754" s="9"/>
      <c r="G754" s="9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7" customHeight="1">
      <c r="A755" s="7"/>
      <c r="B755" s="10"/>
      <c r="C755" s="9"/>
      <c r="D755" s="9"/>
      <c r="E755" s="9"/>
      <c r="F755" s="9"/>
      <c r="G755" s="9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7" customHeight="1">
      <c r="A756" s="7"/>
      <c r="B756" s="10"/>
      <c r="C756" s="9"/>
      <c r="D756" s="9"/>
      <c r="E756" s="9"/>
      <c r="F756" s="9"/>
      <c r="G756" s="9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7" customHeight="1">
      <c r="A757" s="7"/>
      <c r="B757" s="10"/>
      <c r="C757" s="9"/>
      <c r="D757" s="9"/>
      <c r="E757" s="9"/>
      <c r="F757" s="9"/>
      <c r="G757" s="9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7" customHeight="1">
      <c r="A758" s="7"/>
      <c r="B758" s="10"/>
      <c r="C758" s="9"/>
      <c r="D758" s="9"/>
      <c r="E758" s="9"/>
      <c r="F758" s="9"/>
      <c r="G758" s="9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7" customHeight="1">
      <c r="A759" s="7"/>
      <c r="B759" s="10"/>
      <c r="C759" s="9"/>
      <c r="D759" s="9"/>
      <c r="E759" s="9"/>
      <c r="F759" s="9"/>
      <c r="G759" s="9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7" customHeight="1">
      <c r="A760" s="7"/>
      <c r="B760" s="10"/>
      <c r="C760" s="9"/>
      <c r="D760" s="9"/>
      <c r="E760" s="9"/>
      <c r="F760" s="9"/>
      <c r="G760" s="9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7" customHeight="1">
      <c r="A761" s="7"/>
      <c r="B761" s="10"/>
      <c r="C761" s="9"/>
      <c r="D761" s="9"/>
      <c r="E761" s="9"/>
      <c r="F761" s="9"/>
      <c r="G761" s="9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7" customHeight="1">
      <c r="A762" s="7"/>
      <c r="B762" s="10"/>
      <c r="C762" s="9"/>
      <c r="D762" s="9"/>
      <c r="E762" s="9"/>
      <c r="F762" s="9"/>
      <c r="G762" s="9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7" customHeight="1">
      <c r="A763" s="7"/>
      <c r="B763" s="10"/>
      <c r="C763" s="9"/>
      <c r="D763" s="9"/>
      <c r="E763" s="9"/>
      <c r="F763" s="9"/>
      <c r="G763" s="9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7" customHeight="1">
      <c r="A764" s="7"/>
      <c r="B764" s="10"/>
      <c r="C764" s="9"/>
      <c r="D764" s="9"/>
      <c r="E764" s="9"/>
      <c r="F764" s="9"/>
      <c r="G764" s="9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7" customHeight="1">
      <c r="A765" s="7"/>
      <c r="B765" s="10"/>
      <c r="C765" s="9"/>
      <c r="D765" s="9"/>
      <c r="E765" s="9"/>
      <c r="F765" s="9"/>
      <c r="G765" s="9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7" customHeight="1">
      <c r="A766" s="7"/>
      <c r="B766" s="10"/>
      <c r="C766" s="9"/>
      <c r="D766" s="9"/>
      <c r="E766" s="9"/>
      <c r="F766" s="9"/>
      <c r="G766" s="9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7" customHeight="1">
      <c r="A767" s="7"/>
      <c r="B767" s="10"/>
      <c r="C767" s="9"/>
      <c r="D767" s="9"/>
      <c r="E767" s="9"/>
      <c r="F767" s="9"/>
      <c r="G767" s="9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7" customHeight="1">
      <c r="A768" s="7"/>
      <c r="B768" s="10"/>
      <c r="C768" s="9"/>
      <c r="D768" s="9"/>
      <c r="E768" s="9"/>
      <c r="F768" s="9"/>
      <c r="G768" s="9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7" customHeight="1">
      <c r="A769" s="7"/>
      <c r="B769" s="10"/>
      <c r="C769" s="9"/>
      <c r="D769" s="9"/>
      <c r="E769" s="9"/>
      <c r="F769" s="9"/>
      <c r="G769" s="9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7" customHeight="1">
      <c r="A770" s="7"/>
      <c r="B770" s="10"/>
      <c r="C770" s="9"/>
      <c r="D770" s="9"/>
      <c r="E770" s="9"/>
      <c r="F770" s="9"/>
      <c r="G770" s="9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7" customHeight="1">
      <c r="A771" s="7"/>
      <c r="B771" s="10"/>
      <c r="C771" s="9"/>
      <c r="D771" s="9"/>
      <c r="E771" s="9"/>
      <c r="F771" s="9"/>
      <c r="G771" s="9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7" customHeight="1">
      <c r="A772" s="7"/>
      <c r="B772" s="10"/>
      <c r="C772" s="9"/>
      <c r="D772" s="9"/>
      <c r="E772" s="9"/>
      <c r="F772" s="9"/>
      <c r="G772" s="9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7" customHeight="1">
      <c r="A773" s="7"/>
      <c r="B773" s="10"/>
      <c r="C773" s="9"/>
      <c r="D773" s="9"/>
      <c r="E773" s="9"/>
      <c r="F773" s="9"/>
      <c r="G773" s="9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7" customHeight="1">
      <c r="A774" s="7"/>
      <c r="B774" s="10"/>
      <c r="C774" s="9"/>
      <c r="D774" s="9"/>
      <c r="E774" s="9"/>
      <c r="F774" s="9"/>
      <c r="G774" s="9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7" customHeight="1">
      <c r="A775" s="7"/>
      <c r="B775" s="10"/>
      <c r="C775" s="9"/>
      <c r="D775" s="9"/>
      <c r="E775" s="9"/>
      <c r="F775" s="9"/>
      <c r="G775" s="9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7" customHeight="1">
      <c r="A776" s="7"/>
      <c r="B776" s="10"/>
      <c r="C776" s="9"/>
      <c r="D776" s="9"/>
      <c r="E776" s="9"/>
      <c r="F776" s="9"/>
      <c r="G776" s="9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7" customHeight="1">
      <c r="A777" s="7"/>
      <c r="B777" s="10"/>
      <c r="C777" s="9"/>
      <c r="D777" s="9"/>
      <c r="E777" s="9"/>
      <c r="F777" s="9"/>
      <c r="G777" s="9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7" customHeight="1">
      <c r="A778" s="7"/>
      <c r="B778" s="10"/>
      <c r="C778" s="9"/>
      <c r="D778" s="9"/>
      <c r="E778" s="9"/>
      <c r="F778" s="9"/>
      <c r="G778" s="9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7" customHeight="1">
      <c r="A779" s="7"/>
      <c r="B779" s="10"/>
      <c r="C779" s="9"/>
      <c r="D779" s="9"/>
      <c r="E779" s="9"/>
      <c r="F779" s="9"/>
      <c r="G779" s="9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7" customHeight="1">
      <c r="A780" s="7"/>
      <c r="B780" s="10"/>
      <c r="C780" s="9"/>
      <c r="D780" s="9"/>
      <c r="E780" s="9"/>
      <c r="F780" s="9"/>
      <c r="G780" s="9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7" customHeight="1">
      <c r="A781" s="7"/>
      <c r="B781" s="10"/>
      <c r="C781" s="9"/>
      <c r="D781" s="9"/>
      <c r="E781" s="9"/>
      <c r="F781" s="9"/>
      <c r="G781" s="9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7" customHeight="1">
      <c r="A782" s="7"/>
      <c r="B782" s="10"/>
      <c r="C782" s="9"/>
      <c r="D782" s="9"/>
      <c r="E782" s="9"/>
      <c r="F782" s="9"/>
      <c r="G782" s="9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7" customHeight="1">
      <c r="A783" s="7"/>
      <c r="B783" s="10"/>
      <c r="C783" s="9"/>
      <c r="D783" s="9"/>
      <c r="E783" s="9"/>
      <c r="F783" s="9"/>
      <c r="G783" s="9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7" customHeight="1">
      <c r="A784" s="7"/>
      <c r="B784" s="10"/>
      <c r="C784" s="9"/>
      <c r="D784" s="9"/>
      <c r="E784" s="9"/>
      <c r="F784" s="9"/>
      <c r="G784" s="9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7" customHeight="1">
      <c r="A785" s="7"/>
      <c r="B785" s="10"/>
      <c r="C785" s="9"/>
      <c r="D785" s="9"/>
      <c r="E785" s="9"/>
      <c r="F785" s="9"/>
      <c r="G785" s="9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7" customHeight="1">
      <c r="A786" s="7"/>
      <c r="B786" s="10"/>
      <c r="C786" s="9"/>
      <c r="D786" s="9"/>
      <c r="E786" s="9"/>
      <c r="F786" s="9"/>
      <c r="G786" s="9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7" customHeight="1">
      <c r="A787" s="7"/>
      <c r="B787" s="10"/>
      <c r="C787" s="9"/>
      <c r="D787" s="9"/>
      <c r="E787" s="9"/>
      <c r="F787" s="9"/>
      <c r="G787" s="9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7" customHeight="1">
      <c r="A788" s="7"/>
      <c r="B788" s="10"/>
      <c r="C788" s="9"/>
      <c r="D788" s="9"/>
      <c r="E788" s="9"/>
      <c r="F788" s="9"/>
      <c r="G788" s="9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7" customHeight="1">
      <c r="A789" s="7"/>
      <c r="B789" s="10"/>
      <c r="C789" s="9"/>
      <c r="D789" s="9"/>
      <c r="E789" s="9"/>
      <c r="F789" s="9"/>
      <c r="G789" s="9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7" customHeight="1">
      <c r="A790" s="7"/>
      <c r="B790" s="10"/>
      <c r="C790" s="9"/>
      <c r="D790" s="9"/>
      <c r="E790" s="9"/>
      <c r="F790" s="9"/>
      <c r="G790" s="9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7" customHeight="1">
      <c r="A791" s="7"/>
      <c r="B791" s="10"/>
      <c r="C791" s="9"/>
      <c r="D791" s="9"/>
      <c r="E791" s="9"/>
      <c r="F791" s="9"/>
      <c r="G791" s="9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7" customHeight="1">
      <c r="A792" s="7"/>
      <c r="B792" s="10"/>
      <c r="C792" s="9"/>
      <c r="D792" s="9"/>
      <c r="E792" s="9"/>
      <c r="F792" s="9"/>
      <c r="G792" s="9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7" customHeight="1">
      <c r="A793" s="7"/>
      <c r="B793" s="10"/>
      <c r="C793" s="9"/>
      <c r="D793" s="9"/>
      <c r="E793" s="9"/>
      <c r="F793" s="9"/>
      <c r="G793" s="9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7" customHeight="1">
      <c r="A794" s="7"/>
      <c r="B794" s="10"/>
      <c r="C794" s="9"/>
      <c r="D794" s="9"/>
      <c r="E794" s="9"/>
      <c r="F794" s="9"/>
      <c r="G794" s="9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7" customHeight="1">
      <c r="A795" s="7"/>
      <c r="B795" s="10"/>
      <c r="C795" s="9"/>
      <c r="D795" s="9"/>
      <c r="E795" s="9"/>
      <c r="F795" s="9"/>
      <c r="G795" s="9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7" customHeight="1">
      <c r="A796" s="7"/>
      <c r="B796" s="10"/>
      <c r="C796" s="9"/>
      <c r="D796" s="9"/>
      <c r="E796" s="9"/>
      <c r="F796" s="9"/>
      <c r="G796" s="9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7" customHeight="1">
      <c r="A797" s="7"/>
      <c r="B797" s="10"/>
      <c r="C797" s="9"/>
      <c r="D797" s="9"/>
      <c r="E797" s="9"/>
      <c r="F797" s="9"/>
      <c r="G797" s="9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7" customHeight="1">
      <c r="A798" s="7"/>
      <c r="B798" s="10"/>
      <c r="C798" s="9"/>
      <c r="D798" s="9"/>
      <c r="E798" s="9"/>
      <c r="F798" s="9"/>
      <c r="G798" s="9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7" customHeight="1">
      <c r="A799" s="7"/>
      <c r="B799" s="10"/>
      <c r="C799" s="9"/>
      <c r="D799" s="9"/>
      <c r="E799" s="9"/>
      <c r="F799" s="9"/>
      <c r="G799" s="9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7" customHeight="1">
      <c r="A800" s="7"/>
      <c r="B800" s="10"/>
      <c r="C800" s="9"/>
      <c r="D800" s="9"/>
      <c r="E800" s="9"/>
      <c r="F800" s="9"/>
      <c r="G800" s="9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7" customHeight="1">
      <c r="A801" s="7"/>
      <c r="B801" s="10"/>
      <c r="C801" s="9"/>
      <c r="D801" s="9"/>
      <c r="E801" s="9"/>
      <c r="F801" s="9"/>
      <c r="G801" s="9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7" customHeight="1">
      <c r="A802" s="7"/>
      <c r="B802" s="10"/>
      <c r="C802" s="9"/>
      <c r="D802" s="9"/>
      <c r="E802" s="9"/>
      <c r="F802" s="9"/>
      <c r="G802" s="9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7" customHeight="1">
      <c r="A803" s="7"/>
      <c r="B803" s="10"/>
      <c r="C803" s="9"/>
      <c r="D803" s="9"/>
      <c r="E803" s="9"/>
      <c r="F803" s="9"/>
      <c r="G803" s="9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7" customHeight="1">
      <c r="A804" s="7"/>
      <c r="B804" s="10"/>
      <c r="C804" s="9"/>
      <c r="D804" s="9"/>
      <c r="E804" s="9"/>
      <c r="F804" s="9"/>
      <c r="G804" s="9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7" customHeight="1">
      <c r="A805" s="7"/>
      <c r="B805" s="10"/>
      <c r="C805" s="9"/>
      <c r="D805" s="9"/>
      <c r="E805" s="9"/>
      <c r="F805" s="9"/>
      <c r="G805" s="9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7" customHeight="1">
      <c r="A806" s="7"/>
      <c r="B806" s="10"/>
      <c r="C806" s="9"/>
      <c r="D806" s="9"/>
      <c r="E806" s="9"/>
      <c r="F806" s="9"/>
      <c r="G806" s="9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7" customHeight="1">
      <c r="A807" s="7"/>
      <c r="B807" s="10"/>
      <c r="C807" s="9"/>
      <c r="D807" s="9"/>
      <c r="E807" s="9"/>
      <c r="F807" s="9"/>
      <c r="G807" s="9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7" customHeight="1">
      <c r="A808" s="7"/>
      <c r="B808" s="10"/>
      <c r="C808" s="9"/>
      <c r="D808" s="9"/>
      <c r="E808" s="9"/>
      <c r="F808" s="9"/>
      <c r="G808" s="9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7" customHeight="1">
      <c r="A809" s="7"/>
      <c r="B809" s="10"/>
      <c r="C809" s="9"/>
      <c r="D809" s="9"/>
      <c r="E809" s="9"/>
      <c r="F809" s="9"/>
      <c r="G809" s="9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7" customHeight="1">
      <c r="A810" s="7"/>
      <c r="B810" s="10"/>
      <c r="C810" s="9"/>
      <c r="D810" s="9"/>
      <c r="E810" s="9"/>
      <c r="F810" s="9"/>
      <c r="G810" s="9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7" customHeight="1">
      <c r="A811" s="7"/>
      <c r="B811" s="10"/>
      <c r="C811" s="9"/>
      <c r="D811" s="9"/>
      <c r="E811" s="9"/>
      <c r="F811" s="9"/>
      <c r="G811" s="9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7" customHeight="1">
      <c r="A812" s="7"/>
      <c r="B812" s="10"/>
      <c r="C812" s="9"/>
      <c r="D812" s="9"/>
      <c r="E812" s="9"/>
      <c r="F812" s="9"/>
      <c r="G812" s="9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7" customHeight="1">
      <c r="A813" s="7"/>
      <c r="B813" s="10"/>
      <c r="C813" s="9"/>
      <c r="D813" s="9"/>
      <c r="E813" s="9"/>
      <c r="F813" s="9"/>
      <c r="G813" s="9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7" customHeight="1">
      <c r="A814" s="7"/>
      <c r="B814" s="10"/>
      <c r="C814" s="9"/>
      <c r="D814" s="9"/>
      <c r="E814" s="9"/>
      <c r="F814" s="9"/>
      <c r="G814" s="9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7" customHeight="1">
      <c r="A815" s="7"/>
      <c r="B815" s="10"/>
      <c r="C815" s="9"/>
      <c r="D815" s="9"/>
      <c r="E815" s="9"/>
      <c r="F815" s="9"/>
      <c r="G815" s="9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7" customHeight="1">
      <c r="A816" s="7"/>
      <c r="B816" s="10"/>
      <c r="C816" s="9"/>
      <c r="D816" s="9"/>
      <c r="E816" s="9"/>
      <c r="F816" s="9"/>
      <c r="G816" s="9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7" customHeight="1">
      <c r="A817" s="7"/>
      <c r="B817" s="10"/>
      <c r="C817" s="9"/>
      <c r="D817" s="9"/>
      <c r="E817" s="9"/>
      <c r="F817" s="9"/>
      <c r="G817" s="9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7" customHeight="1">
      <c r="A818" s="7"/>
      <c r="B818" s="10"/>
      <c r="C818" s="9"/>
      <c r="D818" s="9"/>
      <c r="E818" s="9"/>
      <c r="F818" s="9"/>
      <c r="G818" s="9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7" customHeight="1">
      <c r="A819" s="7"/>
      <c r="B819" s="10"/>
      <c r="C819" s="9"/>
      <c r="D819" s="9"/>
      <c r="E819" s="9"/>
      <c r="F819" s="9"/>
      <c r="G819" s="9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7" customHeight="1">
      <c r="A820" s="7"/>
      <c r="B820" s="10"/>
      <c r="C820" s="9"/>
      <c r="D820" s="9"/>
      <c r="E820" s="9"/>
      <c r="F820" s="9"/>
      <c r="G820" s="9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7" customHeight="1">
      <c r="A821" s="7"/>
      <c r="B821" s="10"/>
      <c r="C821" s="9"/>
      <c r="D821" s="9"/>
      <c r="E821" s="9"/>
      <c r="F821" s="9"/>
      <c r="G821" s="9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7" customHeight="1">
      <c r="A822" s="7"/>
      <c r="B822" s="10"/>
      <c r="C822" s="9"/>
      <c r="D822" s="9"/>
      <c r="E822" s="9"/>
      <c r="F822" s="9"/>
      <c r="G822" s="9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7" customHeight="1">
      <c r="A823" s="7"/>
      <c r="B823" s="10"/>
      <c r="C823" s="9"/>
      <c r="D823" s="9"/>
      <c r="E823" s="9"/>
      <c r="F823" s="9"/>
      <c r="G823" s="9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7" customHeight="1">
      <c r="A824" s="7"/>
      <c r="B824" s="10"/>
      <c r="C824" s="9"/>
      <c r="D824" s="9"/>
      <c r="E824" s="9"/>
      <c r="F824" s="9"/>
      <c r="G824" s="9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7" customHeight="1">
      <c r="A825" s="7"/>
      <c r="B825" s="10"/>
      <c r="C825" s="9"/>
      <c r="D825" s="9"/>
      <c r="E825" s="9"/>
      <c r="F825" s="9"/>
      <c r="G825" s="9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7" customHeight="1">
      <c r="A826" s="7"/>
      <c r="B826" s="10"/>
      <c r="C826" s="9"/>
      <c r="D826" s="9"/>
      <c r="E826" s="9"/>
      <c r="F826" s="9"/>
      <c r="G826" s="9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7" customHeight="1">
      <c r="A827" s="7"/>
      <c r="B827" s="10"/>
      <c r="C827" s="9"/>
      <c r="D827" s="9"/>
      <c r="E827" s="9"/>
      <c r="F827" s="9"/>
      <c r="G827" s="9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7" customHeight="1">
      <c r="A828" s="7"/>
      <c r="B828" s="10"/>
      <c r="C828" s="9"/>
      <c r="D828" s="9"/>
      <c r="E828" s="9"/>
      <c r="F828" s="9"/>
      <c r="G828" s="9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7" customHeight="1">
      <c r="A829" s="7"/>
      <c r="B829" s="10"/>
      <c r="C829" s="9"/>
      <c r="D829" s="9"/>
      <c r="E829" s="9"/>
      <c r="F829" s="9"/>
      <c r="G829" s="9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7" customHeight="1">
      <c r="A830" s="7"/>
      <c r="B830" s="10"/>
      <c r="C830" s="9"/>
      <c r="D830" s="9"/>
      <c r="E830" s="9"/>
      <c r="F830" s="9"/>
      <c r="G830" s="9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7" customHeight="1">
      <c r="A831" s="7"/>
      <c r="B831" s="10"/>
      <c r="C831" s="9"/>
      <c r="D831" s="9"/>
      <c r="E831" s="9"/>
      <c r="F831" s="9"/>
      <c r="G831" s="9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7" customHeight="1">
      <c r="A832" s="7"/>
      <c r="B832" s="10"/>
      <c r="C832" s="9"/>
      <c r="D832" s="9"/>
      <c r="E832" s="9"/>
      <c r="F832" s="9"/>
      <c r="G832" s="9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7" customHeight="1">
      <c r="A833" s="7"/>
      <c r="B833" s="10"/>
      <c r="C833" s="9"/>
      <c r="D833" s="9"/>
      <c r="E833" s="9"/>
      <c r="F833" s="9"/>
      <c r="G833" s="9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7" customHeight="1">
      <c r="A834" s="7"/>
      <c r="B834" s="10"/>
      <c r="C834" s="9"/>
      <c r="D834" s="9"/>
      <c r="E834" s="9"/>
      <c r="F834" s="9"/>
      <c r="G834" s="9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7" customHeight="1">
      <c r="A835" s="7"/>
      <c r="B835" s="10"/>
      <c r="C835" s="9"/>
      <c r="D835" s="9"/>
      <c r="E835" s="9"/>
      <c r="F835" s="9"/>
      <c r="G835" s="9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7" customHeight="1">
      <c r="A836" s="7"/>
      <c r="B836" s="10"/>
      <c r="C836" s="9"/>
      <c r="D836" s="9"/>
      <c r="E836" s="9"/>
      <c r="F836" s="9"/>
      <c r="G836" s="9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7" customHeight="1">
      <c r="A837" s="7"/>
      <c r="B837" s="10"/>
      <c r="C837" s="9"/>
      <c r="D837" s="9"/>
      <c r="E837" s="9"/>
      <c r="F837" s="9"/>
      <c r="G837" s="9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7" customHeight="1">
      <c r="A838" s="7"/>
      <c r="B838" s="10"/>
      <c r="C838" s="9"/>
      <c r="D838" s="9"/>
      <c r="E838" s="9"/>
      <c r="F838" s="9"/>
      <c r="G838" s="9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7" customHeight="1">
      <c r="A839" s="7"/>
      <c r="B839" s="10"/>
      <c r="C839" s="9"/>
      <c r="D839" s="9"/>
      <c r="E839" s="9"/>
      <c r="F839" s="9"/>
      <c r="G839" s="9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7" customHeight="1">
      <c r="A840" s="7"/>
      <c r="B840" s="10"/>
      <c r="C840" s="9"/>
      <c r="D840" s="9"/>
      <c r="E840" s="9"/>
      <c r="F840" s="9"/>
      <c r="G840" s="9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7" customHeight="1">
      <c r="A841" s="7"/>
      <c r="B841" s="10"/>
      <c r="C841" s="9"/>
      <c r="D841" s="9"/>
      <c r="E841" s="9"/>
      <c r="F841" s="9"/>
      <c r="G841" s="9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7" customHeight="1">
      <c r="A842" s="7"/>
      <c r="B842" s="10"/>
      <c r="C842" s="9"/>
      <c r="D842" s="9"/>
      <c r="E842" s="9"/>
      <c r="F842" s="9"/>
      <c r="G842" s="9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7" customHeight="1">
      <c r="A843" s="7"/>
      <c r="B843" s="10"/>
      <c r="C843" s="9"/>
      <c r="D843" s="9"/>
      <c r="E843" s="9"/>
      <c r="F843" s="9"/>
      <c r="G843" s="9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7" customHeight="1">
      <c r="A844" s="7"/>
      <c r="B844" s="10"/>
      <c r="C844" s="9"/>
      <c r="D844" s="9"/>
      <c r="E844" s="9"/>
      <c r="F844" s="9"/>
      <c r="G844" s="9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7" customHeight="1">
      <c r="A845" s="7"/>
      <c r="B845" s="10"/>
      <c r="C845" s="9"/>
      <c r="D845" s="9"/>
      <c r="E845" s="9"/>
      <c r="F845" s="9"/>
      <c r="G845" s="9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7" customHeight="1">
      <c r="A846" s="7"/>
      <c r="B846" s="10"/>
      <c r="C846" s="9"/>
      <c r="D846" s="9"/>
      <c r="E846" s="9"/>
      <c r="F846" s="9"/>
      <c r="G846" s="9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7" customHeight="1">
      <c r="A847" s="7"/>
      <c r="B847" s="10"/>
      <c r="C847" s="9"/>
      <c r="D847" s="9"/>
      <c r="E847" s="9"/>
      <c r="F847" s="9"/>
      <c r="G847" s="9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7" customHeight="1">
      <c r="A848" s="7"/>
      <c r="B848" s="10"/>
      <c r="C848" s="9"/>
      <c r="D848" s="9"/>
      <c r="E848" s="9"/>
      <c r="F848" s="9"/>
      <c r="G848" s="9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7" customHeight="1">
      <c r="A849" s="7"/>
      <c r="B849" s="10"/>
      <c r="C849" s="9"/>
      <c r="D849" s="9"/>
      <c r="E849" s="9"/>
      <c r="F849" s="9"/>
      <c r="G849" s="9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7" customHeight="1">
      <c r="A850" s="7"/>
      <c r="B850" s="10"/>
      <c r="C850" s="9"/>
      <c r="D850" s="9"/>
      <c r="E850" s="9"/>
      <c r="F850" s="9"/>
      <c r="G850" s="9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7" customHeight="1">
      <c r="A851" s="7"/>
      <c r="B851" s="10"/>
      <c r="C851" s="9"/>
      <c r="D851" s="9"/>
      <c r="E851" s="9"/>
      <c r="F851" s="9"/>
      <c r="G851" s="9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7" customHeight="1">
      <c r="A852" s="7"/>
      <c r="B852" s="10"/>
      <c r="C852" s="9"/>
      <c r="D852" s="9"/>
      <c r="E852" s="9"/>
      <c r="F852" s="9"/>
      <c r="G852" s="9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7" customHeight="1">
      <c r="A853" s="7"/>
      <c r="B853" s="10"/>
      <c r="C853" s="9"/>
      <c r="D853" s="9"/>
      <c r="E853" s="9"/>
      <c r="F853" s="9"/>
      <c r="G853" s="9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7" customHeight="1">
      <c r="A854" s="7"/>
      <c r="B854" s="10"/>
      <c r="C854" s="9"/>
      <c r="D854" s="9"/>
      <c r="E854" s="9"/>
      <c r="F854" s="9"/>
      <c r="G854" s="9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7" customHeight="1">
      <c r="A855" s="7"/>
      <c r="B855" s="10"/>
      <c r="C855" s="9"/>
      <c r="D855" s="9"/>
      <c r="E855" s="9"/>
      <c r="F855" s="9"/>
      <c r="G855" s="9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7" customHeight="1">
      <c r="A856" s="7"/>
      <c r="B856" s="10"/>
      <c r="C856" s="9"/>
      <c r="D856" s="9"/>
      <c r="E856" s="9"/>
      <c r="F856" s="9"/>
      <c r="G856" s="9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7" customHeight="1">
      <c r="A857" s="7"/>
      <c r="B857" s="10"/>
      <c r="C857" s="9"/>
      <c r="D857" s="9"/>
      <c r="E857" s="9"/>
      <c r="F857" s="9"/>
      <c r="G857" s="9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7" customHeight="1">
      <c r="A858" s="7"/>
      <c r="B858" s="10"/>
      <c r="C858" s="9"/>
      <c r="D858" s="9"/>
      <c r="E858" s="9"/>
      <c r="F858" s="9"/>
      <c r="G858" s="9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7" customHeight="1">
      <c r="A859" s="7"/>
      <c r="B859" s="10"/>
      <c r="C859" s="9"/>
      <c r="D859" s="9"/>
      <c r="E859" s="9"/>
      <c r="F859" s="9"/>
      <c r="G859" s="9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7" customHeight="1">
      <c r="A860" s="7"/>
      <c r="B860" s="10"/>
      <c r="C860" s="9"/>
      <c r="D860" s="9"/>
      <c r="E860" s="9"/>
      <c r="F860" s="9"/>
      <c r="G860" s="9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7" customHeight="1">
      <c r="A861" s="7"/>
      <c r="B861" s="10"/>
      <c r="C861" s="9"/>
      <c r="D861" s="9"/>
      <c r="E861" s="9"/>
      <c r="F861" s="9"/>
      <c r="G861" s="9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7" customHeight="1">
      <c r="A862" s="7"/>
      <c r="B862" s="10"/>
      <c r="C862" s="9"/>
      <c r="D862" s="9"/>
      <c r="E862" s="9"/>
      <c r="F862" s="9"/>
      <c r="G862" s="9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7" customHeight="1">
      <c r="A863" s="7"/>
      <c r="B863" s="10"/>
      <c r="C863" s="9"/>
      <c r="D863" s="9"/>
      <c r="E863" s="9"/>
      <c r="F863" s="9"/>
      <c r="G863" s="9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7" customHeight="1">
      <c r="A864" s="7"/>
      <c r="B864" s="10"/>
      <c r="C864" s="9"/>
      <c r="D864" s="9"/>
      <c r="E864" s="9"/>
      <c r="F864" s="9"/>
      <c r="G864" s="9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7" customHeight="1">
      <c r="A865" s="7"/>
      <c r="B865" s="10"/>
      <c r="C865" s="9"/>
      <c r="D865" s="9"/>
      <c r="E865" s="9"/>
      <c r="F865" s="9"/>
      <c r="G865" s="9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7" customHeight="1">
      <c r="A866" s="7"/>
      <c r="B866" s="10"/>
      <c r="C866" s="9"/>
      <c r="D866" s="9"/>
      <c r="E866" s="9"/>
      <c r="F866" s="9"/>
      <c r="G866" s="9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7" customHeight="1">
      <c r="A867" s="7"/>
      <c r="B867" s="10"/>
      <c r="C867" s="9"/>
      <c r="D867" s="9"/>
      <c r="E867" s="9"/>
      <c r="F867" s="9"/>
      <c r="G867" s="9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7" customHeight="1">
      <c r="A868" s="7"/>
      <c r="B868" s="10"/>
      <c r="C868" s="9"/>
      <c r="D868" s="9"/>
      <c r="E868" s="9"/>
      <c r="F868" s="9"/>
      <c r="G868" s="9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7" customHeight="1">
      <c r="A869" s="7"/>
      <c r="B869" s="10"/>
      <c r="C869" s="9"/>
      <c r="D869" s="9"/>
      <c r="E869" s="9"/>
      <c r="F869" s="9"/>
      <c r="G869" s="9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7" customHeight="1">
      <c r="A870" s="7"/>
      <c r="B870" s="10"/>
      <c r="C870" s="9"/>
      <c r="D870" s="9"/>
      <c r="E870" s="9"/>
      <c r="F870" s="9"/>
      <c r="G870" s="9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7" customHeight="1">
      <c r="A871" s="7"/>
      <c r="B871" s="10"/>
      <c r="C871" s="9"/>
      <c r="D871" s="9"/>
      <c r="E871" s="9"/>
      <c r="F871" s="9"/>
      <c r="G871" s="9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7" customHeight="1">
      <c r="A872" s="7"/>
      <c r="B872" s="10"/>
      <c r="C872" s="9"/>
      <c r="D872" s="9"/>
      <c r="E872" s="9"/>
      <c r="F872" s="9"/>
      <c r="G872" s="9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7" customHeight="1">
      <c r="A873" s="7"/>
      <c r="B873" s="10"/>
      <c r="C873" s="9"/>
      <c r="D873" s="9"/>
      <c r="E873" s="9"/>
      <c r="F873" s="9"/>
      <c r="G873" s="9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7" customHeight="1">
      <c r="A874" s="7"/>
      <c r="B874" s="10"/>
      <c r="C874" s="9"/>
      <c r="D874" s="9"/>
      <c r="E874" s="9"/>
      <c r="F874" s="9"/>
      <c r="G874" s="9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7" customHeight="1">
      <c r="A875" s="7"/>
      <c r="B875" s="10"/>
      <c r="C875" s="9"/>
      <c r="D875" s="9"/>
      <c r="E875" s="9"/>
      <c r="F875" s="9"/>
      <c r="G875" s="9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7" customHeight="1">
      <c r="A876" s="7"/>
      <c r="B876" s="10"/>
      <c r="C876" s="9"/>
      <c r="D876" s="9"/>
      <c r="E876" s="9"/>
      <c r="F876" s="9"/>
      <c r="G876" s="9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7" customHeight="1">
      <c r="A877" s="7"/>
      <c r="B877" s="10"/>
      <c r="C877" s="9"/>
      <c r="D877" s="9"/>
      <c r="E877" s="9"/>
      <c r="F877" s="9"/>
      <c r="G877" s="9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7" customHeight="1">
      <c r="A878" s="7"/>
      <c r="B878" s="10"/>
      <c r="C878" s="9"/>
      <c r="D878" s="9"/>
      <c r="E878" s="9"/>
      <c r="F878" s="9"/>
      <c r="G878" s="9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7" customHeight="1">
      <c r="A879" s="7"/>
      <c r="B879" s="10"/>
      <c r="C879" s="9"/>
      <c r="D879" s="9"/>
      <c r="E879" s="9"/>
      <c r="F879" s="9"/>
      <c r="G879" s="9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7" customHeight="1">
      <c r="A880" s="7"/>
      <c r="B880" s="10"/>
      <c r="C880" s="9"/>
      <c r="D880" s="9"/>
      <c r="E880" s="9"/>
      <c r="F880" s="9"/>
      <c r="G880" s="9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7" customHeight="1">
      <c r="A881" s="7"/>
      <c r="B881" s="10"/>
      <c r="C881" s="9"/>
      <c r="D881" s="9"/>
      <c r="E881" s="9"/>
      <c r="F881" s="9"/>
      <c r="G881" s="9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7" customHeight="1">
      <c r="A882" s="7"/>
      <c r="B882" s="10"/>
      <c r="C882" s="9"/>
      <c r="D882" s="9"/>
      <c r="E882" s="9"/>
      <c r="F882" s="9"/>
      <c r="G882" s="9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7" customHeight="1">
      <c r="A883" s="7"/>
      <c r="B883" s="10"/>
      <c r="C883" s="9"/>
      <c r="D883" s="9"/>
      <c r="E883" s="9"/>
      <c r="F883" s="9"/>
      <c r="G883" s="9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7" customHeight="1">
      <c r="A884" s="7"/>
      <c r="B884" s="10"/>
      <c r="C884" s="9"/>
      <c r="D884" s="9"/>
      <c r="E884" s="9"/>
      <c r="F884" s="9"/>
      <c r="G884" s="9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7" customHeight="1">
      <c r="A885" s="7"/>
      <c r="B885" s="10"/>
      <c r="C885" s="9"/>
      <c r="D885" s="9"/>
      <c r="E885" s="9"/>
      <c r="F885" s="9"/>
      <c r="G885" s="9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7" customHeight="1">
      <c r="A886" s="7"/>
      <c r="B886" s="10"/>
      <c r="C886" s="9"/>
      <c r="D886" s="9"/>
      <c r="E886" s="9"/>
      <c r="F886" s="9"/>
      <c r="G886" s="9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7" customHeight="1">
      <c r="A887" s="7"/>
      <c r="B887" s="10"/>
      <c r="C887" s="9"/>
      <c r="D887" s="9"/>
      <c r="E887" s="9"/>
      <c r="F887" s="9"/>
      <c r="G887" s="9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7" customHeight="1">
      <c r="A888" s="7"/>
      <c r="B888" s="10"/>
      <c r="C888" s="9"/>
      <c r="D888" s="9"/>
      <c r="E888" s="9"/>
      <c r="F888" s="9"/>
      <c r="G888" s="9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7" customHeight="1">
      <c r="A889" s="7"/>
      <c r="B889" s="10"/>
      <c r="C889" s="9"/>
      <c r="D889" s="9"/>
      <c r="E889" s="9"/>
      <c r="F889" s="9"/>
      <c r="G889" s="9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7" customHeight="1">
      <c r="A890" s="7"/>
      <c r="B890" s="10"/>
      <c r="C890" s="9"/>
      <c r="D890" s="9"/>
      <c r="E890" s="9"/>
      <c r="F890" s="9"/>
      <c r="G890" s="9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7" customHeight="1">
      <c r="A891" s="7"/>
      <c r="B891" s="10"/>
      <c r="C891" s="9"/>
      <c r="D891" s="9"/>
      <c r="E891" s="9"/>
      <c r="F891" s="9"/>
      <c r="G891" s="9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7" customHeight="1">
      <c r="A892" s="7"/>
      <c r="B892" s="10"/>
      <c r="C892" s="9"/>
      <c r="D892" s="9"/>
      <c r="E892" s="9"/>
      <c r="F892" s="9"/>
      <c r="G892" s="9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7" customHeight="1">
      <c r="A893" s="7"/>
      <c r="B893" s="10"/>
      <c r="C893" s="9"/>
      <c r="D893" s="9"/>
      <c r="E893" s="9"/>
      <c r="F893" s="9"/>
      <c r="G893" s="9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7" customHeight="1">
      <c r="A894" s="7"/>
      <c r="B894" s="10"/>
      <c r="C894" s="9"/>
      <c r="D894" s="9"/>
      <c r="E894" s="9"/>
      <c r="F894" s="9"/>
      <c r="G894" s="9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7" customHeight="1">
      <c r="A895" s="7"/>
      <c r="B895" s="10"/>
      <c r="C895" s="9"/>
      <c r="D895" s="9"/>
      <c r="E895" s="9"/>
      <c r="F895" s="9"/>
      <c r="G895" s="9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7" customHeight="1">
      <c r="A896" s="7"/>
      <c r="B896" s="10"/>
      <c r="C896" s="9"/>
      <c r="D896" s="9"/>
      <c r="E896" s="9"/>
      <c r="F896" s="9"/>
      <c r="G896" s="9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7" customHeight="1">
      <c r="A897" s="7"/>
      <c r="B897" s="10"/>
      <c r="C897" s="9"/>
      <c r="D897" s="9"/>
      <c r="E897" s="9"/>
      <c r="F897" s="9"/>
      <c r="G897" s="9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7" customHeight="1">
      <c r="A898" s="7"/>
      <c r="B898" s="10"/>
      <c r="C898" s="9"/>
      <c r="D898" s="9"/>
      <c r="E898" s="9"/>
      <c r="F898" s="9"/>
      <c r="G898" s="9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7" customHeight="1">
      <c r="A899" s="7"/>
      <c r="B899" s="10"/>
      <c r="C899" s="9"/>
      <c r="D899" s="9"/>
      <c r="E899" s="9"/>
      <c r="F899" s="9"/>
      <c r="G899" s="9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7" customHeight="1">
      <c r="A900" s="7"/>
      <c r="B900" s="10"/>
      <c r="C900" s="9"/>
      <c r="D900" s="9"/>
      <c r="E900" s="9"/>
      <c r="F900" s="9"/>
      <c r="G900" s="9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7" customHeight="1">
      <c r="A901" s="7"/>
      <c r="B901" s="10"/>
      <c r="C901" s="9"/>
      <c r="D901" s="9"/>
      <c r="E901" s="9"/>
      <c r="F901" s="9"/>
      <c r="G901" s="9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7" customHeight="1">
      <c r="A902" s="7"/>
      <c r="B902" s="10"/>
      <c r="C902" s="9"/>
      <c r="D902" s="9"/>
      <c r="E902" s="9"/>
      <c r="F902" s="9"/>
      <c r="G902" s="9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7" customHeight="1">
      <c r="A903" s="7"/>
      <c r="B903" s="10"/>
      <c r="C903" s="9"/>
      <c r="D903" s="9"/>
      <c r="E903" s="9"/>
      <c r="F903" s="9"/>
      <c r="G903" s="9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7" customHeight="1">
      <c r="A904" s="7"/>
      <c r="B904" s="10"/>
      <c r="C904" s="9"/>
      <c r="D904" s="9"/>
      <c r="E904" s="9"/>
      <c r="F904" s="9"/>
      <c r="G904" s="9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7" customHeight="1">
      <c r="A905" s="7"/>
      <c r="B905" s="10"/>
      <c r="C905" s="9"/>
      <c r="D905" s="9"/>
      <c r="E905" s="9"/>
      <c r="F905" s="9"/>
      <c r="G905" s="9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7" customHeight="1">
      <c r="A906" s="7"/>
      <c r="B906" s="10"/>
      <c r="C906" s="9"/>
      <c r="D906" s="9"/>
      <c r="E906" s="9"/>
      <c r="F906" s="9"/>
      <c r="G906" s="9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7" customHeight="1">
      <c r="A907" s="7"/>
      <c r="B907" s="10"/>
      <c r="C907" s="9"/>
      <c r="D907" s="9"/>
      <c r="E907" s="9"/>
      <c r="F907" s="9"/>
      <c r="G907" s="9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7" customHeight="1">
      <c r="A908" s="7"/>
      <c r="B908" s="10"/>
      <c r="C908" s="9"/>
      <c r="D908" s="9"/>
      <c r="E908" s="9"/>
      <c r="F908" s="9"/>
      <c r="G908" s="9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7" customHeight="1">
      <c r="A909" s="7"/>
      <c r="B909" s="10"/>
      <c r="C909" s="9"/>
      <c r="D909" s="9"/>
      <c r="E909" s="9"/>
      <c r="F909" s="9"/>
      <c r="G909" s="9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7" customHeight="1">
      <c r="A910" s="7"/>
      <c r="B910" s="10"/>
      <c r="C910" s="9"/>
      <c r="D910" s="9"/>
      <c r="E910" s="9"/>
      <c r="F910" s="9"/>
      <c r="G910" s="9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7" customHeight="1">
      <c r="A911" s="7"/>
      <c r="B911" s="10"/>
      <c r="C911" s="9"/>
      <c r="D911" s="9"/>
      <c r="E911" s="9"/>
      <c r="F911" s="9"/>
      <c r="G911" s="9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7" customHeight="1">
      <c r="A912" s="7"/>
      <c r="B912" s="10"/>
      <c r="C912" s="9"/>
      <c r="D912" s="9"/>
      <c r="E912" s="9"/>
      <c r="F912" s="9"/>
      <c r="G912" s="9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7" customHeight="1">
      <c r="A913" s="7"/>
      <c r="B913" s="10"/>
      <c r="C913" s="9"/>
      <c r="D913" s="9"/>
      <c r="E913" s="9"/>
      <c r="F913" s="9"/>
      <c r="G913" s="9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7" customHeight="1">
      <c r="A914" s="7"/>
      <c r="B914" s="10"/>
      <c r="C914" s="9"/>
      <c r="D914" s="9"/>
      <c r="E914" s="9"/>
      <c r="F914" s="9"/>
      <c r="G914" s="9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7" customHeight="1">
      <c r="A915" s="7"/>
      <c r="B915" s="10"/>
      <c r="C915" s="9"/>
      <c r="D915" s="9"/>
      <c r="E915" s="9"/>
      <c r="F915" s="9"/>
      <c r="G915" s="9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7" customHeight="1">
      <c r="A916" s="7"/>
      <c r="B916" s="10"/>
      <c r="C916" s="9"/>
      <c r="D916" s="9"/>
      <c r="E916" s="9"/>
      <c r="F916" s="9"/>
      <c r="G916" s="9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7" customHeight="1">
      <c r="A917" s="7"/>
      <c r="B917" s="10"/>
      <c r="C917" s="9"/>
      <c r="D917" s="9"/>
      <c r="E917" s="9"/>
      <c r="F917" s="9"/>
      <c r="G917" s="9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7" customHeight="1">
      <c r="A918" s="7"/>
      <c r="B918" s="10"/>
      <c r="C918" s="9"/>
      <c r="D918" s="9"/>
      <c r="E918" s="9"/>
      <c r="F918" s="9"/>
      <c r="G918" s="9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7" customHeight="1">
      <c r="A919" s="7"/>
      <c r="B919" s="10"/>
      <c r="C919" s="9"/>
      <c r="D919" s="9"/>
      <c r="E919" s="9"/>
      <c r="F919" s="9"/>
      <c r="G919" s="9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7" customHeight="1">
      <c r="A920" s="7"/>
      <c r="B920" s="10"/>
      <c r="C920" s="9"/>
      <c r="D920" s="9"/>
      <c r="E920" s="9"/>
      <c r="F920" s="9"/>
      <c r="G920" s="9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7" customHeight="1">
      <c r="A921" s="7"/>
      <c r="B921" s="10"/>
      <c r="C921" s="9"/>
      <c r="D921" s="9"/>
      <c r="E921" s="9"/>
      <c r="F921" s="9"/>
      <c r="G921" s="9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7" customHeight="1">
      <c r="A922" s="7"/>
      <c r="B922" s="10"/>
      <c r="C922" s="9"/>
      <c r="D922" s="9"/>
      <c r="E922" s="9"/>
      <c r="F922" s="9"/>
      <c r="G922" s="9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7" customHeight="1">
      <c r="A923" s="7"/>
      <c r="B923" s="10"/>
      <c r="C923" s="9"/>
      <c r="D923" s="9"/>
      <c r="E923" s="9"/>
      <c r="F923" s="9"/>
      <c r="G923" s="9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7" customHeight="1">
      <c r="A924" s="7"/>
      <c r="B924" s="10"/>
      <c r="C924" s="9"/>
      <c r="D924" s="9"/>
      <c r="E924" s="9"/>
      <c r="F924" s="9"/>
      <c r="G924" s="9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7" customHeight="1">
      <c r="A925" s="7"/>
      <c r="B925" s="10"/>
      <c r="C925" s="9"/>
      <c r="D925" s="9"/>
      <c r="E925" s="9"/>
      <c r="F925" s="9"/>
      <c r="G925" s="9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7" customHeight="1">
      <c r="A926" s="7"/>
      <c r="B926" s="10"/>
      <c r="C926" s="9"/>
      <c r="D926" s="9"/>
      <c r="E926" s="9"/>
      <c r="F926" s="9"/>
      <c r="G926" s="9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7" customHeight="1">
      <c r="A927" s="7"/>
      <c r="B927" s="10"/>
      <c r="C927" s="9"/>
      <c r="D927" s="9"/>
      <c r="E927" s="9"/>
      <c r="F927" s="9"/>
      <c r="G927" s="9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7" customHeight="1">
      <c r="A928" s="7"/>
      <c r="B928" s="10"/>
      <c r="C928" s="9"/>
      <c r="D928" s="9"/>
      <c r="E928" s="9"/>
      <c r="F928" s="9"/>
      <c r="G928" s="9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7" customHeight="1">
      <c r="A929" s="7"/>
      <c r="B929" s="10"/>
      <c r="C929" s="9"/>
      <c r="D929" s="9"/>
      <c r="E929" s="9"/>
      <c r="F929" s="9"/>
      <c r="G929" s="9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7" customHeight="1">
      <c r="A930" s="7"/>
      <c r="B930" s="10"/>
      <c r="C930" s="9"/>
      <c r="D930" s="9"/>
      <c r="E930" s="9"/>
      <c r="F930" s="9"/>
      <c r="G930" s="9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7" customHeight="1">
      <c r="A931" s="7"/>
      <c r="B931" s="10"/>
      <c r="C931" s="9"/>
      <c r="D931" s="9"/>
      <c r="E931" s="9"/>
      <c r="F931" s="9"/>
      <c r="G931" s="9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7" customHeight="1">
      <c r="A932" s="7"/>
      <c r="B932" s="10"/>
      <c r="C932" s="9"/>
      <c r="D932" s="9"/>
      <c r="E932" s="9"/>
      <c r="F932" s="9"/>
      <c r="G932" s="9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7" customHeight="1">
      <c r="A933" s="7"/>
      <c r="B933" s="10"/>
      <c r="C933" s="9"/>
      <c r="D933" s="9"/>
      <c r="E933" s="9"/>
      <c r="F933" s="9"/>
      <c r="G933" s="9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7" customHeight="1">
      <c r="A934" s="7"/>
      <c r="B934" s="10"/>
      <c r="C934" s="9"/>
      <c r="D934" s="9"/>
      <c r="E934" s="9"/>
      <c r="F934" s="9"/>
      <c r="G934" s="9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7" customHeight="1">
      <c r="A935" s="7"/>
      <c r="B935" s="10"/>
      <c r="C935" s="9"/>
      <c r="D935" s="9"/>
      <c r="E935" s="9"/>
      <c r="F935" s="9"/>
      <c r="G935" s="9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7" customHeight="1">
      <c r="A936" s="7"/>
      <c r="B936" s="10"/>
      <c r="C936" s="9"/>
      <c r="D936" s="9"/>
      <c r="E936" s="9"/>
      <c r="F936" s="9"/>
      <c r="G936" s="9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7" customHeight="1">
      <c r="A937" s="7"/>
      <c r="B937" s="10"/>
      <c r="C937" s="9"/>
      <c r="D937" s="9"/>
      <c r="E937" s="9"/>
      <c r="F937" s="9"/>
      <c r="G937" s="9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7" customHeight="1">
      <c r="A938" s="7"/>
      <c r="B938" s="10"/>
      <c r="C938" s="9"/>
      <c r="D938" s="9"/>
      <c r="E938" s="9"/>
      <c r="F938" s="9"/>
      <c r="G938" s="9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7" customHeight="1">
      <c r="A939" s="7"/>
      <c r="B939" s="10"/>
      <c r="C939" s="9"/>
      <c r="D939" s="9"/>
      <c r="E939" s="9"/>
      <c r="F939" s="9"/>
      <c r="G939" s="9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7" customHeight="1">
      <c r="A940" s="7"/>
      <c r="B940" s="10"/>
      <c r="C940" s="9"/>
      <c r="D940" s="9"/>
      <c r="E940" s="9"/>
      <c r="F940" s="9"/>
      <c r="G940" s="9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7" customHeight="1">
      <c r="A941" s="7"/>
      <c r="B941" s="10"/>
      <c r="C941" s="9"/>
      <c r="D941" s="9"/>
      <c r="E941" s="9"/>
      <c r="F941" s="9"/>
      <c r="G941" s="9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7" customHeight="1">
      <c r="A942" s="7"/>
      <c r="B942" s="10"/>
      <c r="C942" s="9"/>
      <c r="D942" s="9"/>
      <c r="E942" s="9"/>
      <c r="F942" s="9"/>
      <c r="G942" s="9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7" customHeight="1">
      <c r="A943" s="7"/>
      <c r="B943" s="10"/>
      <c r="C943" s="9"/>
      <c r="D943" s="9"/>
      <c r="E943" s="9"/>
      <c r="F943" s="9"/>
      <c r="G943" s="9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7" customHeight="1">
      <c r="A944" s="7"/>
      <c r="B944" s="10"/>
      <c r="C944" s="9"/>
      <c r="D944" s="9"/>
      <c r="E944" s="9"/>
      <c r="F944" s="9"/>
      <c r="G944" s="9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7" customHeight="1">
      <c r="A945" s="7"/>
      <c r="B945" s="10"/>
      <c r="C945" s="9"/>
      <c r="D945" s="9"/>
      <c r="E945" s="9"/>
      <c r="F945" s="9"/>
      <c r="G945" s="9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7" customHeight="1">
      <c r="A946" s="7"/>
      <c r="B946" s="10"/>
      <c r="C946" s="9"/>
      <c r="D946" s="9"/>
      <c r="E946" s="9"/>
      <c r="F946" s="9"/>
      <c r="G946" s="9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7" customHeight="1">
      <c r="A947" s="7"/>
      <c r="B947" s="10"/>
      <c r="C947" s="9"/>
      <c r="D947" s="9"/>
      <c r="E947" s="9"/>
      <c r="F947" s="9"/>
      <c r="G947" s="9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7" customHeight="1">
      <c r="A948" s="7"/>
      <c r="B948" s="10"/>
      <c r="C948" s="9"/>
      <c r="D948" s="9"/>
      <c r="E948" s="9"/>
      <c r="F948" s="9"/>
      <c r="G948" s="9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7" customHeight="1">
      <c r="A949" s="7"/>
      <c r="B949" s="10"/>
      <c r="C949" s="9"/>
      <c r="D949" s="9"/>
      <c r="E949" s="9"/>
      <c r="F949" s="9"/>
      <c r="G949" s="9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7" customHeight="1">
      <c r="A950" s="7"/>
      <c r="B950" s="10"/>
      <c r="C950" s="9"/>
      <c r="D950" s="9"/>
      <c r="E950" s="9"/>
      <c r="F950" s="9"/>
      <c r="G950" s="9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7" customHeight="1">
      <c r="A951" s="7"/>
      <c r="B951" s="10"/>
      <c r="C951" s="9"/>
      <c r="D951" s="9"/>
      <c r="E951" s="9"/>
      <c r="F951" s="9"/>
      <c r="G951" s="9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7" customHeight="1">
      <c r="A952" s="7"/>
      <c r="B952" s="10"/>
      <c r="C952" s="9"/>
      <c r="D952" s="9"/>
      <c r="E952" s="9"/>
      <c r="F952" s="9"/>
      <c r="G952" s="9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7" customHeight="1">
      <c r="A953" s="7"/>
      <c r="B953" s="10"/>
      <c r="C953" s="9"/>
      <c r="D953" s="9"/>
      <c r="E953" s="9"/>
      <c r="F953" s="9"/>
      <c r="G953" s="9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7" customHeight="1">
      <c r="A954" s="7"/>
      <c r="B954" s="10"/>
      <c r="C954" s="9"/>
      <c r="D954" s="9"/>
      <c r="E954" s="9"/>
      <c r="F954" s="9"/>
      <c r="G954" s="9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7" customHeight="1">
      <c r="A955" s="7"/>
      <c r="B955" s="10"/>
      <c r="C955" s="9"/>
      <c r="D955" s="9"/>
      <c r="E955" s="9"/>
      <c r="F955" s="9"/>
      <c r="G955" s="9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7" customHeight="1">
      <c r="A956" s="7"/>
      <c r="B956" s="10"/>
      <c r="C956" s="9"/>
      <c r="D956" s="9"/>
      <c r="E956" s="9"/>
      <c r="F956" s="9"/>
      <c r="G956" s="9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7" customHeight="1">
      <c r="A957" s="7"/>
      <c r="B957" s="10"/>
      <c r="C957" s="9"/>
      <c r="D957" s="9"/>
      <c r="E957" s="9"/>
      <c r="F957" s="9"/>
      <c r="G957" s="9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7" customHeight="1">
      <c r="A958" s="7"/>
      <c r="B958" s="10"/>
      <c r="C958" s="9"/>
      <c r="D958" s="9"/>
      <c r="E958" s="9"/>
      <c r="F958" s="9"/>
      <c r="G958" s="9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7" customHeight="1">
      <c r="A959" s="7"/>
      <c r="B959" s="10"/>
      <c r="C959" s="9"/>
      <c r="D959" s="9"/>
      <c r="E959" s="9"/>
      <c r="F959" s="9"/>
      <c r="G959" s="9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7" customHeight="1">
      <c r="A960" s="7"/>
      <c r="B960" s="10"/>
      <c r="C960" s="9"/>
      <c r="D960" s="9"/>
      <c r="E960" s="9"/>
      <c r="F960" s="9"/>
      <c r="G960" s="9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7" customHeight="1">
      <c r="A961" s="7"/>
      <c r="B961" s="10"/>
      <c r="C961" s="9"/>
      <c r="D961" s="9"/>
      <c r="E961" s="9"/>
      <c r="F961" s="9"/>
      <c r="G961" s="9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7" customHeight="1">
      <c r="A962" s="7"/>
      <c r="B962" s="10"/>
      <c r="C962" s="9"/>
      <c r="D962" s="9"/>
      <c r="E962" s="9"/>
      <c r="F962" s="9"/>
      <c r="G962" s="9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7" customHeight="1">
      <c r="A963" s="7"/>
      <c r="B963" s="10"/>
      <c r="C963" s="9"/>
      <c r="D963" s="9"/>
      <c r="E963" s="9"/>
      <c r="F963" s="9"/>
      <c r="G963" s="9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7" customHeight="1">
      <c r="A964" s="7"/>
      <c r="B964" s="10"/>
      <c r="C964" s="9"/>
      <c r="D964" s="9"/>
      <c r="E964" s="9"/>
      <c r="F964" s="9"/>
      <c r="G964" s="9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7" customHeight="1">
      <c r="A965" s="7"/>
      <c r="B965" s="10"/>
      <c r="C965" s="9"/>
      <c r="D965" s="9"/>
      <c r="E965" s="9"/>
      <c r="F965" s="9"/>
      <c r="G965" s="9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7" customHeight="1">
      <c r="A966" s="7"/>
      <c r="B966" s="10"/>
      <c r="C966" s="9"/>
      <c r="D966" s="9"/>
      <c r="E966" s="9"/>
      <c r="F966" s="9"/>
      <c r="G966" s="9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7" customHeight="1">
      <c r="A967" s="7"/>
      <c r="B967" s="10"/>
      <c r="C967" s="9"/>
      <c r="D967" s="9"/>
      <c r="E967" s="9"/>
      <c r="F967" s="9"/>
      <c r="G967" s="9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7" customHeight="1">
      <c r="A968" s="7"/>
      <c r="B968" s="10"/>
      <c r="C968" s="9"/>
      <c r="D968" s="9"/>
      <c r="E968" s="9"/>
      <c r="F968" s="9"/>
      <c r="G968" s="9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7" customHeight="1">
      <c r="A969" s="7"/>
      <c r="B969" s="10"/>
      <c r="C969" s="9"/>
      <c r="D969" s="9"/>
      <c r="E969" s="9"/>
      <c r="F969" s="9"/>
      <c r="G969" s="9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7" customHeight="1">
      <c r="A970" s="7"/>
      <c r="B970" s="10"/>
      <c r="C970" s="9"/>
      <c r="D970" s="9"/>
      <c r="E970" s="9"/>
      <c r="F970" s="9"/>
      <c r="G970" s="9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7" customHeight="1">
      <c r="A971" s="7"/>
      <c r="B971" s="10"/>
      <c r="C971" s="9"/>
      <c r="D971" s="9"/>
      <c r="E971" s="9"/>
      <c r="F971" s="9"/>
      <c r="G971" s="9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7" customHeight="1">
      <c r="A972" s="7"/>
      <c r="B972" s="10"/>
      <c r="C972" s="9"/>
      <c r="D972" s="9"/>
      <c r="E972" s="9"/>
      <c r="F972" s="9"/>
      <c r="G972" s="9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7" customHeight="1">
      <c r="A973" s="7"/>
      <c r="B973" s="10"/>
      <c r="C973" s="9"/>
      <c r="D973" s="9"/>
      <c r="E973" s="9"/>
      <c r="F973" s="9"/>
      <c r="G973" s="9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7" customHeight="1">
      <c r="A974" s="7"/>
      <c r="B974" s="10"/>
      <c r="C974" s="9"/>
      <c r="D974" s="9"/>
      <c r="E974" s="9"/>
      <c r="F974" s="9"/>
      <c r="G974" s="9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7" customHeight="1">
      <c r="A975" s="7"/>
      <c r="B975" s="10"/>
      <c r="C975" s="9"/>
      <c r="D975" s="9"/>
      <c r="E975" s="9"/>
      <c r="F975" s="9"/>
      <c r="G975" s="9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7" customHeight="1">
      <c r="A976" s="7"/>
      <c r="B976" s="10"/>
      <c r="C976" s="9"/>
      <c r="D976" s="9"/>
      <c r="E976" s="9"/>
      <c r="F976" s="9"/>
      <c r="G976" s="9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7" customHeight="1">
      <c r="A977" s="7"/>
      <c r="B977" s="10"/>
      <c r="C977" s="9"/>
      <c r="D977" s="9"/>
      <c r="E977" s="9"/>
      <c r="F977" s="9"/>
      <c r="G977" s="9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7" customHeight="1">
      <c r="A978" s="7"/>
      <c r="B978" s="10"/>
      <c r="C978" s="9"/>
      <c r="D978" s="9"/>
      <c r="E978" s="9"/>
      <c r="F978" s="9"/>
      <c r="G978" s="9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7" customHeight="1">
      <c r="A979" s="7"/>
      <c r="B979" s="10"/>
      <c r="C979" s="9"/>
      <c r="D979" s="9"/>
      <c r="E979" s="9"/>
      <c r="F979" s="9"/>
      <c r="G979" s="9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7" customHeight="1">
      <c r="A980" s="7"/>
      <c r="B980" s="10"/>
      <c r="C980" s="9"/>
      <c r="D980" s="9"/>
      <c r="E980" s="9"/>
      <c r="F980" s="9"/>
      <c r="G980" s="9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7" customHeight="1">
      <c r="A981" s="7"/>
      <c r="B981" s="10"/>
      <c r="C981" s="9"/>
      <c r="D981" s="9"/>
      <c r="E981" s="9"/>
      <c r="F981" s="9"/>
      <c r="G981" s="9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7" customHeight="1">
      <c r="A982" s="7"/>
      <c r="B982" s="10"/>
      <c r="C982" s="9"/>
      <c r="D982" s="9"/>
      <c r="E982" s="9"/>
      <c r="F982" s="9"/>
      <c r="G982" s="9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7" customHeight="1">
      <c r="A983" s="7"/>
      <c r="B983" s="10"/>
      <c r="C983" s="9"/>
      <c r="D983" s="9"/>
      <c r="E983" s="9"/>
      <c r="F983" s="9"/>
      <c r="G983" s="9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7" customHeight="1">
      <c r="A984" s="7"/>
      <c r="B984" s="10"/>
      <c r="C984" s="9"/>
      <c r="D984" s="9"/>
      <c r="E984" s="9"/>
      <c r="F984" s="9"/>
      <c r="G984" s="9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7" customHeight="1">
      <c r="A985" s="7"/>
      <c r="B985" s="10"/>
      <c r="C985" s="9"/>
      <c r="D985" s="9"/>
      <c r="E985" s="9"/>
      <c r="F985" s="9"/>
      <c r="G985" s="9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7" customHeight="1">
      <c r="A986" s="7"/>
      <c r="B986" s="10"/>
      <c r="C986" s="9"/>
      <c r="D986" s="9"/>
      <c r="E986" s="9"/>
      <c r="F986" s="9"/>
      <c r="G986" s="9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7" customHeight="1">
      <c r="A987" s="7"/>
      <c r="B987" s="10"/>
      <c r="C987" s="9"/>
      <c r="D987" s="9"/>
      <c r="E987" s="9"/>
      <c r="F987" s="9"/>
      <c r="G987" s="9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7" customHeight="1">
      <c r="A988" s="7"/>
      <c r="B988" s="10"/>
      <c r="C988" s="9"/>
      <c r="D988" s="9"/>
      <c r="E988" s="9"/>
      <c r="F988" s="9"/>
      <c r="G988" s="9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7" customHeight="1">
      <c r="A989" s="7"/>
      <c r="B989" s="10"/>
      <c r="C989" s="9"/>
      <c r="D989" s="9"/>
      <c r="E989" s="9"/>
      <c r="F989" s="9"/>
      <c r="G989" s="9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7" customHeight="1">
      <c r="A990" s="7"/>
      <c r="B990" s="10"/>
      <c r="C990" s="9"/>
      <c r="D990" s="9"/>
      <c r="E990" s="9"/>
      <c r="F990" s="9"/>
      <c r="G990" s="9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7" customHeight="1">
      <c r="A991" s="7"/>
      <c r="B991" s="10"/>
      <c r="C991" s="9"/>
      <c r="D991" s="9"/>
      <c r="E991" s="9"/>
      <c r="F991" s="9"/>
      <c r="G991" s="9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7" customHeight="1">
      <c r="A992" s="7"/>
      <c r="B992" s="10"/>
      <c r="C992" s="9"/>
      <c r="D992" s="9"/>
      <c r="E992" s="9"/>
      <c r="F992" s="9"/>
      <c r="G992" s="9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7" customHeight="1">
      <c r="A993" s="7"/>
      <c r="B993" s="10"/>
      <c r="C993" s="9"/>
      <c r="D993" s="9"/>
      <c r="E993" s="9"/>
      <c r="F993" s="9"/>
      <c r="G993" s="9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7" customHeight="1">
      <c r="A994" s="7"/>
      <c r="B994" s="10"/>
      <c r="C994" s="9"/>
      <c r="D994" s="9"/>
      <c r="E994" s="9"/>
      <c r="F994" s="9"/>
      <c r="G994" s="9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7" customHeight="1">
      <c r="A995" s="7"/>
      <c r="B995" s="10"/>
      <c r="C995" s="9"/>
      <c r="D995" s="9"/>
      <c r="E995" s="9"/>
      <c r="F995" s="9"/>
      <c r="G995" s="9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7" customHeight="1">
      <c r="A996" s="7"/>
      <c r="B996" s="10"/>
      <c r="C996" s="9"/>
      <c r="D996" s="9"/>
      <c r="E996" s="9"/>
      <c r="F996" s="9"/>
      <c r="G996" s="9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</sheetData>
  <sheetProtection algorithmName="SHA-512" hashValue="bXGHMN2WMt/3Ynl4cdDZPPg12yH/LOPoVmCE2zqL+Gaffbr31ImW2qdY46asFBSz0J+fC/mLRKADR1hYid0baw==" saltValue="yy+CBFMjcQWI1k93gRJ9zQ==" spinCount="100000" sheet="1" objects="1" scenarios="1"/>
  <mergeCells count="2">
    <mergeCell ref="F5:G5"/>
    <mergeCell ref="B7:C7"/>
  </mergeCells>
  <pageMargins left="0.59055118110236227" right="0.59055118110236227" top="0.59055118110236227" bottom="0.78740157480314965" header="0" footer="0"/>
  <pageSetup paperSize="9" scale="47" orientation="portrait"/>
  <headerFoot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D117"/>
  <sheetViews>
    <sheetView showGridLines="0" workbookViewId="0">
      <pane ySplit="10" topLeftCell="A11" activePane="bottomLeft" state="frozen"/>
      <selection activeCell="B4" sqref="B4"/>
      <selection pane="bottomLeft" activeCell="G7" sqref="G7"/>
    </sheetView>
  </sheetViews>
  <sheetFormatPr baseColWidth="10" defaultColWidth="14.1640625" defaultRowHeight="25" customHeight="1"/>
  <cols>
    <col min="1" max="1" width="42.1640625" customWidth="1"/>
    <col min="2" max="2" width="37.1640625" customWidth="1"/>
    <col min="3" max="3" width="11.1640625" customWidth="1"/>
    <col min="4" max="4" width="23.1640625" customWidth="1"/>
    <col min="5" max="26" width="11.1640625" customWidth="1"/>
  </cols>
  <sheetData>
    <row r="3" spans="1:4" ht="25" customHeight="1">
      <c r="A3" s="663" t="str">
        <f>'1-Contractblad dag'!A3</f>
        <v>Naam opdrachtgever</v>
      </c>
      <c r="B3" s="216" t="str">
        <f>'1-Contractblad dag'!B3</f>
        <v>Gemeente Fryske Marren</v>
      </c>
      <c r="C3" s="30"/>
      <c r="D3" s="30"/>
    </row>
    <row r="4" spans="1:4" ht="25" customHeight="1">
      <c r="A4" s="663" t="str">
        <f>'1-Contractblad dag'!A4</f>
        <v>Calculatie onderdeel</v>
      </c>
      <c r="B4" s="216" t="s">
        <v>650</v>
      </c>
      <c r="C4" s="30"/>
      <c r="D4" s="30"/>
    </row>
    <row r="5" spans="1:4" ht="25" customHeight="1">
      <c r="A5" s="663" t="str">
        <f>'1-Contractblad dag'!A5</f>
        <v>Gebouw/plaats</v>
      </c>
      <c r="B5" s="216" t="str">
        <f>'1-Contractblad dag'!B5</f>
        <v>Totaal</v>
      </c>
      <c r="C5" s="30"/>
      <c r="D5" s="30"/>
    </row>
    <row r="6" spans="1:4" ht="25" customHeight="1">
      <c r="A6" s="663" t="str">
        <f>'1-Contractblad dag'!A6</f>
        <v>Besteknummer</v>
      </c>
      <c r="B6" s="216" t="str">
        <f>'1-Contractblad dag'!B6</f>
        <v>Calculatie-GFM -2026.01 (prijspeil 1-1-2027)</v>
      </c>
      <c r="C6" s="30"/>
      <c r="D6" s="30"/>
    </row>
    <row r="7" spans="1:4" ht="25" customHeight="1">
      <c r="A7" s="663" t="str">
        <f>'1-Contractblad dag'!A7</f>
        <v>Naam leverancier</v>
      </c>
      <c r="B7" s="216" t="str">
        <f>'1-Contractblad dag'!B7</f>
        <v>Vaste calculatie</v>
      </c>
      <c r="C7" s="30"/>
      <c r="D7" s="30"/>
    </row>
    <row r="8" spans="1:4" ht="25" customHeight="1">
      <c r="A8" s="663" t="str">
        <f>'1-Contractblad dag'!A8</f>
        <v>Prijspeil</v>
      </c>
      <c r="B8" s="664">
        <f>'1-Contractblad dag'!B8</f>
        <v>46388</v>
      </c>
      <c r="C8" s="30"/>
      <c r="D8" s="30"/>
    </row>
    <row r="9" spans="1:4" ht="25" customHeight="1">
      <c r="A9" s="665"/>
      <c r="B9" s="79"/>
      <c r="C9" s="30"/>
      <c r="D9" s="30"/>
    </row>
    <row r="10" spans="1:4" ht="30" customHeight="1">
      <c r="A10" s="666" t="s">
        <v>651</v>
      </c>
      <c r="B10" s="513"/>
      <c r="C10" s="513"/>
      <c r="D10" s="158"/>
    </row>
    <row r="11" spans="1:4" ht="25" customHeight="1">
      <c r="A11" s="25"/>
      <c r="B11" s="25"/>
      <c r="C11" s="25"/>
      <c r="D11" s="25"/>
    </row>
    <row r="12" spans="1:4" ht="25" customHeight="1">
      <c r="A12" s="514" t="s">
        <v>652</v>
      </c>
      <c r="B12" s="649" t="s">
        <v>653</v>
      </c>
      <c r="C12" s="667"/>
      <c r="D12" s="668"/>
    </row>
    <row r="13" spans="1:4" ht="25" customHeight="1">
      <c r="A13" s="515" t="s">
        <v>654</v>
      </c>
      <c r="B13" s="650"/>
      <c r="C13" s="667"/>
      <c r="D13" s="669"/>
    </row>
    <row r="14" spans="1:4" ht="25" customHeight="1">
      <c r="A14" s="516"/>
      <c r="B14" s="651"/>
      <c r="C14" s="652"/>
      <c r="D14" s="653"/>
    </row>
    <row r="15" spans="1:4" ht="25" customHeight="1">
      <c r="A15" s="159" t="s">
        <v>655</v>
      </c>
      <c r="B15" s="516"/>
      <c r="C15" s="670"/>
      <c r="D15" s="654" t="s">
        <v>656</v>
      </c>
    </row>
    <row r="16" spans="1:4" ht="25" customHeight="1">
      <c r="A16" s="160" t="s">
        <v>657</v>
      </c>
      <c r="B16" s="516"/>
      <c r="C16" s="225"/>
      <c r="D16" s="655">
        <v>10000</v>
      </c>
    </row>
    <row r="17" spans="1:4" ht="25" customHeight="1">
      <c r="A17" s="160" t="s">
        <v>658</v>
      </c>
      <c r="B17" s="516"/>
      <c r="C17" s="225"/>
      <c r="D17" s="655"/>
    </row>
    <row r="18" spans="1:4" ht="25" customHeight="1">
      <c r="A18" s="160" t="s">
        <v>659</v>
      </c>
      <c r="B18" s="516"/>
      <c r="C18" s="225"/>
      <c r="D18" s="655">
        <f>D16-D17</f>
        <v>10000</v>
      </c>
    </row>
    <row r="19" spans="1:4" ht="25" customHeight="1">
      <c r="A19" s="160" t="s">
        <v>660</v>
      </c>
      <c r="B19" s="516"/>
      <c r="C19" s="225"/>
      <c r="D19" s="656">
        <v>3</v>
      </c>
    </row>
    <row r="20" spans="1:4" ht="25" customHeight="1">
      <c r="A20" s="160" t="s">
        <v>661</v>
      </c>
      <c r="B20" s="516"/>
      <c r="C20" s="225"/>
      <c r="D20" s="655">
        <f>D16*0.1</f>
        <v>1000</v>
      </c>
    </row>
    <row r="21" spans="1:4" ht="25" customHeight="1">
      <c r="A21" s="516"/>
      <c r="B21" s="651"/>
      <c r="C21" s="652"/>
      <c r="D21" s="653"/>
    </row>
    <row r="22" spans="1:4" ht="25" customHeight="1">
      <c r="A22" s="159" t="s">
        <v>662</v>
      </c>
      <c r="B22" s="516"/>
      <c r="C22" s="225"/>
      <c r="D22" s="657"/>
    </row>
    <row r="23" spans="1:4" ht="25" customHeight="1">
      <c r="A23" s="160" t="s">
        <v>663</v>
      </c>
      <c r="B23" s="516"/>
      <c r="C23" s="225"/>
      <c r="D23" s="655">
        <f>IF(D19=0,0,(D18-D20)/D19)</f>
        <v>3000</v>
      </c>
    </row>
    <row r="24" spans="1:4" ht="25" customHeight="1">
      <c r="A24" s="160" t="s">
        <v>664</v>
      </c>
      <c r="B24" s="516"/>
      <c r="C24" s="225"/>
      <c r="D24" s="655">
        <v>1500</v>
      </c>
    </row>
    <row r="25" spans="1:4" ht="25" customHeight="1">
      <c r="A25" s="160" t="s">
        <v>665</v>
      </c>
      <c r="B25" s="516"/>
      <c r="C25" s="658">
        <v>1.2500000000000001E-2</v>
      </c>
      <c r="D25" s="655">
        <f>C25*D18</f>
        <v>125</v>
      </c>
    </row>
    <row r="26" spans="1:4" ht="25" customHeight="1">
      <c r="A26" s="160" t="s">
        <v>666</v>
      </c>
      <c r="B26" s="516"/>
      <c r="C26" s="658">
        <v>2.1499999999999998E-2</v>
      </c>
      <c r="D26" s="655">
        <f>C26*D18</f>
        <v>214.99999999999997</v>
      </c>
    </row>
    <row r="27" spans="1:4" ht="25" customHeight="1">
      <c r="A27" s="516"/>
      <c r="B27" s="651"/>
      <c r="C27" s="652"/>
      <c r="D27" s="653"/>
    </row>
    <row r="28" spans="1:4" ht="25" customHeight="1">
      <c r="A28" s="159" t="s">
        <v>667</v>
      </c>
      <c r="B28" s="516"/>
      <c r="C28" s="225"/>
      <c r="D28" s="659">
        <f>SUM(D23:D27)</f>
        <v>4840</v>
      </c>
    </row>
    <row r="29" spans="1:4" ht="25" customHeight="1">
      <c r="A29" s="516"/>
      <c r="B29" s="651"/>
      <c r="C29" s="652"/>
      <c r="D29" s="653"/>
    </row>
    <row r="30" spans="1:4" ht="43">
      <c r="A30" s="160" t="s">
        <v>668</v>
      </c>
      <c r="B30" s="660" t="s">
        <v>669</v>
      </c>
      <c r="C30" s="71">
        <v>2</v>
      </c>
      <c r="D30" s="655">
        <f>C30*D28</f>
        <v>9680</v>
      </c>
    </row>
    <row r="31" spans="1:4" ht="25" customHeight="1">
      <c r="A31" s="86"/>
      <c r="B31" s="86"/>
      <c r="C31" s="661"/>
      <c r="D31" s="662"/>
    </row>
    <row r="32" spans="1:4" ht="25" customHeight="1">
      <c r="A32" s="514" t="s">
        <v>652</v>
      </c>
      <c r="B32" s="649"/>
      <c r="C32" s="667"/>
      <c r="D32" s="668"/>
    </row>
    <row r="33" spans="1:4" ht="25" customHeight="1">
      <c r="A33" s="515" t="s">
        <v>654</v>
      </c>
      <c r="B33" s="650"/>
      <c r="C33" s="671"/>
      <c r="D33" s="669"/>
    </row>
    <row r="34" spans="1:4" ht="25" customHeight="1">
      <c r="A34" s="516"/>
      <c r="B34" s="651"/>
      <c r="C34" s="652"/>
      <c r="D34" s="653"/>
    </row>
    <row r="35" spans="1:4" ht="25" customHeight="1">
      <c r="A35" s="159" t="s">
        <v>655</v>
      </c>
      <c r="B35" s="516"/>
      <c r="C35" s="670"/>
      <c r="D35" s="654" t="s">
        <v>656</v>
      </c>
    </row>
    <row r="36" spans="1:4" ht="25" customHeight="1">
      <c r="A36" s="160" t="s">
        <v>657</v>
      </c>
      <c r="B36" s="516"/>
      <c r="C36" s="225"/>
      <c r="D36" s="655">
        <v>0</v>
      </c>
    </row>
    <row r="37" spans="1:4" ht="25" customHeight="1">
      <c r="A37" s="160" t="s">
        <v>658</v>
      </c>
      <c r="B37" s="516"/>
      <c r="C37" s="225"/>
      <c r="D37" s="655"/>
    </row>
    <row r="38" spans="1:4" ht="25" customHeight="1">
      <c r="A38" s="160" t="s">
        <v>659</v>
      </c>
      <c r="B38" s="516"/>
      <c r="C38" s="225"/>
      <c r="D38" s="655">
        <f>D36-D37</f>
        <v>0</v>
      </c>
    </row>
    <row r="39" spans="1:4" ht="25" customHeight="1">
      <c r="A39" s="160" t="s">
        <v>660</v>
      </c>
      <c r="B39" s="516"/>
      <c r="C39" s="225"/>
      <c r="D39" s="656"/>
    </row>
    <row r="40" spans="1:4" ht="25" customHeight="1">
      <c r="A40" s="160" t="s">
        <v>661</v>
      </c>
      <c r="B40" s="516"/>
      <c r="C40" s="225"/>
      <c r="D40" s="655">
        <f>D36*0.1</f>
        <v>0</v>
      </c>
    </row>
    <row r="41" spans="1:4" ht="25" customHeight="1">
      <c r="A41" s="516"/>
      <c r="B41" s="651"/>
      <c r="C41" s="652"/>
      <c r="D41" s="653"/>
    </row>
    <row r="42" spans="1:4" ht="25" customHeight="1">
      <c r="A42" s="159" t="s">
        <v>662</v>
      </c>
      <c r="B42" s="516"/>
      <c r="C42" s="225"/>
      <c r="D42" s="657"/>
    </row>
    <row r="43" spans="1:4" ht="25" customHeight="1">
      <c r="A43" s="160" t="s">
        <v>663</v>
      </c>
      <c r="B43" s="516"/>
      <c r="C43" s="225"/>
      <c r="D43" s="655">
        <f>IF(D39=0,0,(D38-D40)/D39)</f>
        <v>0</v>
      </c>
    </row>
    <row r="44" spans="1:4" ht="25" customHeight="1">
      <c r="A44" s="160" t="s">
        <v>664</v>
      </c>
      <c r="B44" s="516"/>
      <c r="C44" s="225"/>
      <c r="D44" s="655">
        <v>0</v>
      </c>
    </row>
    <row r="45" spans="1:4" ht="25" customHeight="1">
      <c r="A45" s="160" t="s">
        <v>665</v>
      </c>
      <c r="B45" s="516"/>
      <c r="C45" s="658">
        <f>C25</f>
        <v>1.2500000000000001E-2</v>
      </c>
      <c r="D45" s="655">
        <f>C45*D38</f>
        <v>0</v>
      </c>
    </row>
    <row r="46" spans="1:4" ht="25" customHeight="1">
      <c r="A46" s="160" t="s">
        <v>666</v>
      </c>
      <c r="B46" s="516"/>
      <c r="C46" s="658">
        <f>C26</f>
        <v>2.1499999999999998E-2</v>
      </c>
      <c r="D46" s="655">
        <f>C46*D38</f>
        <v>0</v>
      </c>
    </row>
    <row r="47" spans="1:4" ht="25" customHeight="1">
      <c r="A47" s="516"/>
      <c r="B47" s="651"/>
      <c r="C47" s="652"/>
      <c r="D47" s="653"/>
    </row>
    <row r="48" spans="1:4" ht="25" customHeight="1">
      <c r="A48" s="159" t="s">
        <v>667</v>
      </c>
      <c r="B48" s="516"/>
      <c r="C48" s="225"/>
      <c r="D48" s="659">
        <f>SUM(D43:D47)</f>
        <v>0</v>
      </c>
    </row>
    <row r="49" spans="1:4" ht="25" customHeight="1">
      <c r="A49" s="516"/>
      <c r="B49" s="651"/>
      <c r="C49" s="652"/>
      <c r="D49" s="653"/>
    </row>
    <row r="50" spans="1:4" ht="25" customHeight="1">
      <c r="A50" s="160" t="s">
        <v>668</v>
      </c>
      <c r="B50" s="516"/>
      <c r="C50" s="71">
        <v>0</v>
      </c>
      <c r="D50" s="655">
        <f>C50*D48</f>
        <v>0</v>
      </c>
    </row>
    <row r="51" spans="1:4" ht="25" customHeight="1">
      <c r="A51" s="86"/>
      <c r="B51" s="86"/>
      <c r="C51" s="661"/>
      <c r="D51" s="662"/>
    </row>
    <row r="52" spans="1:4" ht="25" customHeight="1">
      <c r="A52" s="514" t="s">
        <v>652</v>
      </c>
      <c r="B52" s="649"/>
      <c r="C52" s="667"/>
      <c r="D52" s="668"/>
    </row>
    <row r="53" spans="1:4" ht="25" customHeight="1">
      <c r="A53" s="515" t="s">
        <v>654</v>
      </c>
      <c r="B53" s="650"/>
      <c r="C53" s="671"/>
      <c r="D53" s="669"/>
    </row>
    <row r="54" spans="1:4" ht="25" customHeight="1">
      <c r="A54" s="516"/>
      <c r="B54" s="651"/>
      <c r="C54" s="652"/>
      <c r="D54" s="653"/>
    </row>
    <row r="55" spans="1:4" ht="25" customHeight="1">
      <c r="A55" s="159" t="s">
        <v>655</v>
      </c>
      <c r="B55" s="516"/>
      <c r="C55" s="670"/>
      <c r="D55" s="654" t="s">
        <v>656</v>
      </c>
    </row>
    <row r="56" spans="1:4" ht="25" customHeight="1">
      <c r="A56" s="160" t="s">
        <v>657</v>
      </c>
      <c r="B56" s="516"/>
      <c r="C56" s="225"/>
      <c r="D56" s="655">
        <v>0</v>
      </c>
    </row>
    <row r="57" spans="1:4" ht="25" customHeight="1">
      <c r="A57" s="160" t="s">
        <v>658</v>
      </c>
      <c r="B57" s="516"/>
      <c r="C57" s="225"/>
      <c r="D57" s="655"/>
    </row>
    <row r="58" spans="1:4" ht="25" customHeight="1">
      <c r="A58" s="160" t="s">
        <v>659</v>
      </c>
      <c r="B58" s="516"/>
      <c r="C58" s="225"/>
      <c r="D58" s="655">
        <f>D56-D57</f>
        <v>0</v>
      </c>
    </row>
    <row r="59" spans="1:4" ht="25" customHeight="1">
      <c r="A59" s="160" t="s">
        <v>660</v>
      </c>
      <c r="B59" s="516"/>
      <c r="C59" s="225"/>
      <c r="D59" s="656"/>
    </row>
    <row r="60" spans="1:4" ht="25" customHeight="1">
      <c r="A60" s="160" t="s">
        <v>661</v>
      </c>
      <c r="B60" s="516"/>
      <c r="C60" s="225"/>
      <c r="D60" s="655">
        <f>D56*0.1</f>
        <v>0</v>
      </c>
    </row>
    <row r="61" spans="1:4" ht="25" customHeight="1">
      <c r="A61" s="516"/>
      <c r="B61" s="651"/>
      <c r="C61" s="652"/>
      <c r="D61" s="653"/>
    </row>
    <row r="62" spans="1:4" ht="25" customHeight="1">
      <c r="A62" s="159" t="s">
        <v>662</v>
      </c>
      <c r="B62" s="516"/>
      <c r="C62" s="225"/>
      <c r="D62" s="657"/>
    </row>
    <row r="63" spans="1:4" ht="25" customHeight="1">
      <c r="A63" s="160" t="s">
        <v>663</v>
      </c>
      <c r="B63" s="516"/>
      <c r="C63" s="225"/>
      <c r="D63" s="655">
        <f>IF(D59=0,0,(D58-D60)/D59)</f>
        <v>0</v>
      </c>
    </row>
    <row r="64" spans="1:4" ht="25" customHeight="1">
      <c r="A64" s="160" t="s">
        <v>664</v>
      </c>
      <c r="B64" s="516"/>
      <c r="C64" s="225"/>
      <c r="D64" s="655">
        <v>0</v>
      </c>
    </row>
    <row r="65" spans="1:4" ht="25" customHeight="1">
      <c r="A65" s="160" t="s">
        <v>665</v>
      </c>
      <c r="B65" s="516"/>
      <c r="C65" s="658">
        <f>C45</f>
        <v>1.2500000000000001E-2</v>
      </c>
      <c r="D65" s="655">
        <f>C65*D58</f>
        <v>0</v>
      </c>
    </row>
    <row r="66" spans="1:4" ht="25" customHeight="1">
      <c r="A66" s="160" t="s">
        <v>666</v>
      </c>
      <c r="B66" s="516"/>
      <c r="C66" s="658">
        <f>C46</f>
        <v>2.1499999999999998E-2</v>
      </c>
      <c r="D66" s="655">
        <f>C66*D58</f>
        <v>0</v>
      </c>
    </row>
    <row r="67" spans="1:4" ht="25" customHeight="1">
      <c r="A67" s="516"/>
      <c r="B67" s="651"/>
      <c r="C67" s="652"/>
      <c r="D67" s="653"/>
    </row>
    <row r="68" spans="1:4" ht="25" customHeight="1">
      <c r="A68" s="159" t="s">
        <v>667</v>
      </c>
      <c r="B68" s="516"/>
      <c r="C68" s="225"/>
      <c r="D68" s="659">
        <f>SUM(D63:D67)</f>
        <v>0</v>
      </c>
    </row>
    <row r="69" spans="1:4" ht="25" customHeight="1">
      <c r="A69" s="516"/>
      <c r="B69" s="651"/>
      <c r="C69" s="652"/>
      <c r="D69" s="653"/>
    </row>
    <row r="70" spans="1:4" ht="25" customHeight="1">
      <c r="A70" s="160" t="s">
        <v>668</v>
      </c>
      <c r="B70" s="516"/>
      <c r="C70" s="71">
        <v>0</v>
      </c>
      <c r="D70" s="655">
        <f>C70*D68</f>
        <v>0</v>
      </c>
    </row>
    <row r="71" spans="1:4" ht="25" customHeight="1">
      <c r="A71" s="86"/>
      <c r="B71" s="86"/>
      <c r="C71" s="661"/>
      <c r="D71" s="662"/>
    </row>
    <row r="72" spans="1:4" ht="25" customHeight="1">
      <c r="A72" s="514" t="s">
        <v>652</v>
      </c>
      <c r="B72" s="649"/>
      <c r="C72" s="667"/>
      <c r="D72" s="668"/>
    </row>
    <row r="73" spans="1:4" ht="25" customHeight="1">
      <c r="A73" s="515" t="s">
        <v>654</v>
      </c>
      <c r="B73" s="650"/>
      <c r="C73" s="671"/>
      <c r="D73" s="669"/>
    </row>
    <row r="74" spans="1:4" ht="25" customHeight="1">
      <c r="A74" s="516"/>
      <c r="B74" s="651"/>
      <c r="C74" s="652"/>
      <c r="D74" s="653"/>
    </row>
    <row r="75" spans="1:4" ht="25" customHeight="1">
      <c r="A75" s="159" t="s">
        <v>655</v>
      </c>
      <c r="B75" s="516"/>
      <c r="C75" s="670"/>
      <c r="D75" s="654" t="s">
        <v>656</v>
      </c>
    </row>
    <row r="76" spans="1:4" ht="25" customHeight="1">
      <c r="A76" s="160" t="s">
        <v>657</v>
      </c>
      <c r="B76" s="516"/>
      <c r="C76" s="225"/>
      <c r="D76" s="655"/>
    </row>
    <row r="77" spans="1:4" ht="25" customHeight="1">
      <c r="A77" s="160" t="s">
        <v>658</v>
      </c>
      <c r="B77" s="516"/>
      <c r="C77" s="225"/>
      <c r="D77" s="655"/>
    </row>
    <row r="78" spans="1:4" ht="25" customHeight="1">
      <c r="A78" s="160" t="s">
        <v>659</v>
      </c>
      <c r="B78" s="516"/>
      <c r="C78" s="225"/>
      <c r="D78" s="655">
        <f>D76-D77</f>
        <v>0</v>
      </c>
    </row>
    <row r="79" spans="1:4" ht="25" customHeight="1">
      <c r="A79" s="160" t="s">
        <v>660</v>
      </c>
      <c r="B79" s="516"/>
      <c r="C79" s="225"/>
      <c r="D79" s="656"/>
    </row>
    <row r="80" spans="1:4" ht="25" customHeight="1">
      <c r="A80" s="160" t="s">
        <v>661</v>
      </c>
      <c r="B80" s="516"/>
      <c r="C80" s="225"/>
      <c r="D80" s="655">
        <f>D76*0.1</f>
        <v>0</v>
      </c>
    </row>
    <row r="81" spans="1:4" ht="25" customHeight="1">
      <c r="A81" s="516"/>
      <c r="B81" s="651"/>
      <c r="C81" s="652"/>
      <c r="D81" s="653"/>
    </row>
    <row r="82" spans="1:4" ht="25" customHeight="1">
      <c r="A82" s="159" t="s">
        <v>662</v>
      </c>
      <c r="B82" s="516"/>
      <c r="C82" s="225"/>
      <c r="D82" s="657"/>
    </row>
    <row r="83" spans="1:4" ht="25" customHeight="1">
      <c r="A83" s="160" t="s">
        <v>663</v>
      </c>
      <c r="B83" s="516"/>
      <c r="C83" s="225"/>
      <c r="D83" s="655">
        <f>IF(D79=0,0,(D78-D80)/D79)</f>
        <v>0</v>
      </c>
    </row>
    <row r="84" spans="1:4" ht="25" customHeight="1">
      <c r="A84" s="160" t="s">
        <v>664</v>
      </c>
      <c r="B84" s="516"/>
      <c r="C84" s="225"/>
      <c r="D84" s="655"/>
    </row>
    <row r="85" spans="1:4" ht="25" customHeight="1">
      <c r="A85" s="160" t="s">
        <v>665</v>
      </c>
      <c r="B85" s="516"/>
      <c r="C85" s="658">
        <f>C65</f>
        <v>1.2500000000000001E-2</v>
      </c>
      <c r="D85" s="655">
        <f>C85*D78</f>
        <v>0</v>
      </c>
    </row>
    <row r="86" spans="1:4" ht="25" customHeight="1">
      <c r="A86" s="160" t="s">
        <v>666</v>
      </c>
      <c r="B86" s="516"/>
      <c r="C86" s="658">
        <f>C66</f>
        <v>2.1499999999999998E-2</v>
      </c>
      <c r="D86" s="655">
        <f>C86*D78</f>
        <v>0</v>
      </c>
    </row>
    <row r="87" spans="1:4" ht="25" customHeight="1">
      <c r="A87" s="516"/>
      <c r="B87" s="651"/>
      <c r="C87" s="652"/>
      <c r="D87" s="653"/>
    </row>
    <row r="88" spans="1:4" ht="25" customHeight="1">
      <c r="A88" s="159" t="s">
        <v>667</v>
      </c>
      <c r="B88" s="516"/>
      <c r="C88" s="225"/>
      <c r="D88" s="659">
        <f>SUM(D83:D87)</f>
        <v>0</v>
      </c>
    </row>
    <row r="89" spans="1:4" ht="25" customHeight="1">
      <c r="A89" s="516"/>
      <c r="B89" s="651"/>
      <c r="C89" s="652"/>
      <c r="D89" s="653"/>
    </row>
    <row r="90" spans="1:4" ht="25" customHeight="1">
      <c r="A90" s="160" t="s">
        <v>668</v>
      </c>
      <c r="B90" s="516"/>
      <c r="C90" s="71"/>
      <c r="D90" s="655">
        <f>C90*D88</f>
        <v>0</v>
      </c>
    </row>
    <row r="91" spans="1:4" ht="25" customHeight="1">
      <c r="A91" s="86"/>
      <c r="B91" s="86"/>
      <c r="C91" s="661"/>
      <c r="D91" s="662"/>
    </row>
    <row r="92" spans="1:4" ht="25" customHeight="1">
      <c r="A92" s="514" t="s">
        <v>652</v>
      </c>
      <c r="B92" s="649"/>
      <c r="C92" s="667"/>
      <c r="D92" s="668"/>
    </row>
    <row r="93" spans="1:4" ht="25" customHeight="1">
      <c r="A93" s="515" t="s">
        <v>654</v>
      </c>
      <c r="B93" s="650"/>
      <c r="C93" s="671"/>
      <c r="D93" s="669"/>
    </row>
    <row r="94" spans="1:4" ht="25" customHeight="1">
      <c r="A94" s="516"/>
      <c r="B94" s="651"/>
      <c r="C94" s="652"/>
      <c r="D94" s="653"/>
    </row>
    <row r="95" spans="1:4" ht="25" customHeight="1">
      <c r="A95" s="159" t="s">
        <v>655</v>
      </c>
      <c r="B95" s="516"/>
      <c r="C95" s="670"/>
      <c r="D95" s="654" t="s">
        <v>656</v>
      </c>
    </row>
    <row r="96" spans="1:4" ht="25" customHeight="1">
      <c r="A96" s="160" t="s">
        <v>657</v>
      </c>
      <c r="B96" s="516"/>
      <c r="C96" s="225"/>
      <c r="D96" s="655"/>
    </row>
    <row r="97" spans="1:4" ht="25" customHeight="1">
      <c r="A97" s="160" t="s">
        <v>658</v>
      </c>
      <c r="B97" s="516"/>
      <c r="C97" s="225"/>
      <c r="D97" s="655"/>
    </row>
    <row r="98" spans="1:4" ht="25" customHeight="1">
      <c r="A98" s="160" t="s">
        <v>659</v>
      </c>
      <c r="B98" s="516"/>
      <c r="C98" s="225"/>
      <c r="D98" s="655">
        <f>D96-D97</f>
        <v>0</v>
      </c>
    </row>
    <row r="99" spans="1:4" ht="25" customHeight="1">
      <c r="A99" s="160" t="s">
        <v>660</v>
      </c>
      <c r="B99" s="516"/>
      <c r="C99" s="225"/>
      <c r="D99" s="656">
        <v>5</v>
      </c>
    </row>
    <row r="100" spans="1:4" ht="25" customHeight="1">
      <c r="A100" s="160" t="s">
        <v>661</v>
      </c>
      <c r="B100" s="516"/>
      <c r="C100" s="225"/>
      <c r="D100" s="655"/>
    </row>
    <row r="101" spans="1:4" ht="25" customHeight="1">
      <c r="A101" s="516"/>
      <c r="B101" s="651"/>
      <c r="C101" s="652"/>
      <c r="D101" s="653"/>
    </row>
    <row r="102" spans="1:4" ht="25" customHeight="1">
      <c r="A102" s="159" t="s">
        <v>662</v>
      </c>
      <c r="B102" s="516"/>
      <c r="C102" s="225"/>
      <c r="D102" s="657"/>
    </row>
    <row r="103" spans="1:4" ht="25" customHeight="1">
      <c r="A103" s="160" t="s">
        <v>663</v>
      </c>
      <c r="B103" s="516"/>
      <c r="C103" s="225"/>
      <c r="D103" s="655">
        <f>IF(D99=0,0,(D98-D100)/D99)</f>
        <v>0</v>
      </c>
    </row>
    <row r="104" spans="1:4" ht="25" customHeight="1">
      <c r="A104" s="160" t="s">
        <v>664</v>
      </c>
      <c r="B104" s="516"/>
      <c r="C104" s="225"/>
      <c r="D104" s="655"/>
    </row>
    <row r="105" spans="1:4" ht="25" customHeight="1">
      <c r="A105" s="160" t="s">
        <v>665</v>
      </c>
      <c r="B105" s="516"/>
      <c r="C105" s="658">
        <f>C85</f>
        <v>1.2500000000000001E-2</v>
      </c>
      <c r="D105" s="655">
        <f>C105*D98</f>
        <v>0</v>
      </c>
    </row>
    <row r="106" spans="1:4" ht="25" customHeight="1">
      <c r="A106" s="160" t="s">
        <v>666</v>
      </c>
      <c r="B106" s="516"/>
      <c r="C106" s="658">
        <f>C86</f>
        <v>2.1499999999999998E-2</v>
      </c>
      <c r="D106" s="655">
        <f>C106*D98</f>
        <v>0</v>
      </c>
    </row>
    <row r="107" spans="1:4" ht="25" customHeight="1">
      <c r="A107" s="516"/>
      <c r="B107" s="651"/>
      <c r="C107" s="652"/>
      <c r="D107" s="653"/>
    </row>
    <row r="108" spans="1:4" ht="25" customHeight="1">
      <c r="A108" s="159" t="s">
        <v>667</v>
      </c>
      <c r="B108" s="516"/>
      <c r="C108" s="225"/>
      <c r="D108" s="659">
        <f>SUM(D103:D107)</f>
        <v>0</v>
      </c>
    </row>
    <row r="109" spans="1:4" ht="25" customHeight="1">
      <c r="A109" s="516"/>
      <c r="B109" s="651"/>
      <c r="C109" s="652"/>
      <c r="D109" s="653"/>
    </row>
    <row r="110" spans="1:4" ht="25" customHeight="1">
      <c r="A110" s="160" t="s">
        <v>668</v>
      </c>
      <c r="B110" s="516"/>
      <c r="C110" s="71">
        <v>0</v>
      </c>
      <c r="D110" s="655">
        <f>C110*D108</f>
        <v>0</v>
      </c>
    </row>
    <row r="111" spans="1:4" ht="25" customHeight="1">
      <c r="A111" s="86"/>
      <c r="B111" s="86"/>
      <c r="C111" s="661"/>
      <c r="D111" s="662"/>
    </row>
    <row r="112" spans="1:4" ht="25" customHeight="1">
      <c r="A112" s="153" t="s">
        <v>670</v>
      </c>
      <c r="B112" s="7"/>
      <c r="C112" s="7" t="s">
        <v>5</v>
      </c>
      <c r="D112" s="161">
        <f>D110+D90+D70+D50+D30</f>
        <v>9680</v>
      </c>
    </row>
    <row r="113" spans="1:4" ht="25" customHeight="1">
      <c r="A113" s="7" t="s">
        <v>671</v>
      </c>
      <c r="B113" s="7"/>
      <c r="C113" s="7"/>
      <c r="D113" s="662"/>
    </row>
    <row r="114" spans="1:4" ht="25" customHeight="1">
      <c r="A114" s="7" t="s">
        <v>672</v>
      </c>
      <c r="B114" s="7"/>
      <c r="C114" s="7"/>
      <c r="D114" s="662"/>
    </row>
    <row r="115" spans="1:4" ht="25" customHeight="1">
      <c r="A115" s="7" t="s">
        <v>673</v>
      </c>
      <c r="B115" s="7"/>
      <c r="C115" s="7"/>
      <c r="D115" s="7"/>
    </row>
    <row r="117" spans="1:4" ht="25" customHeight="1">
      <c r="A117" s="672"/>
      <c r="B117" s="7"/>
      <c r="C117" s="7"/>
      <c r="D117" s="91"/>
    </row>
  </sheetData>
  <sheetProtection algorithmName="SHA-512" hashValue="cd1lFFpREbhmMwgRLCec/CPJ4mp6msyhDO9BmKdO8VSRzX92OEgFCTdEhtnsew/S3BoocvZ/cyRiNTb+4Rv1uw==" saltValue="9br6F8ge7Vu0vXdtAYH85Q==" spinCount="100000" sheet="1" objects="1" scenarios="1"/>
  <pageMargins left="0.59055118110236227" right="0.59055118110236227" top="0.59055118110236227" bottom="0.78740157480314965" header="0" footer="0"/>
  <pageSetup paperSize="9" scale="47" orientation="portrait"/>
  <headerFoot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993"/>
  <sheetViews>
    <sheetView showGridLines="0" workbookViewId="0">
      <selection activeCell="X18" sqref="X18"/>
    </sheetView>
  </sheetViews>
  <sheetFormatPr baseColWidth="10" defaultColWidth="14.1640625" defaultRowHeight="15" customHeight="1"/>
  <cols>
    <col min="1" max="1" width="50.6640625" bestFit="1" customWidth="1"/>
    <col min="2" max="2" width="25.83203125" customWidth="1"/>
    <col min="3" max="4" width="10.1640625" customWidth="1"/>
    <col min="5" max="5" width="13" bestFit="1" customWidth="1"/>
    <col min="6" max="6" width="4.5" customWidth="1"/>
    <col min="7" max="7" width="25.83203125" customWidth="1"/>
    <col min="8" max="9" width="10.1640625" customWidth="1"/>
    <col min="10" max="10" width="13" bestFit="1" customWidth="1"/>
    <col min="11" max="11" width="3" customWidth="1"/>
    <col min="12" max="12" width="25.83203125" customWidth="1"/>
    <col min="13" max="14" width="10.1640625" customWidth="1"/>
    <col min="15" max="15" width="13" bestFit="1" customWidth="1"/>
    <col min="16" max="16" width="2.1640625" customWidth="1"/>
    <col min="17" max="17" width="25.83203125" customWidth="1"/>
    <col min="18" max="19" width="10.1640625" customWidth="1"/>
    <col min="20" max="20" width="13" bestFit="1" customWidth="1"/>
    <col min="21" max="21" width="3.83203125" customWidth="1"/>
    <col min="22" max="22" width="32.33203125" customWidth="1"/>
    <col min="23" max="24" width="11.1640625" customWidth="1"/>
    <col min="25" max="25" width="13" bestFit="1" customWidth="1"/>
    <col min="26" max="26" width="4.1640625" customWidth="1"/>
    <col min="27" max="27" width="15.1640625" customWidth="1"/>
    <col min="28" max="28" width="18.1640625" customWidth="1"/>
    <col min="29" max="29" width="18" customWidth="1"/>
    <col min="30" max="30" width="26.1640625" customWidth="1"/>
    <col min="31" max="31" width="31.1640625" customWidth="1"/>
    <col min="32" max="32" width="28.83203125" customWidth="1"/>
  </cols>
  <sheetData>
    <row r="1" spans="1:33" ht="12.75" customHeight="1"/>
    <row r="2" spans="1:33" ht="18" customHeight="1">
      <c r="G2" s="162" t="s">
        <v>674</v>
      </c>
    </row>
    <row r="3" spans="1:33" ht="18" customHeight="1">
      <c r="A3" s="12" t="str">
        <f>'1-Contractblad dag'!A3</f>
        <v>Naam opdrachtgever</v>
      </c>
      <c r="B3" s="14" t="str">
        <f>'1-Contractblad dag'!B3</f>
        <v>Gemeente Fryske Marren</v>
      </c>
      <c r="C3" s="163"/>
      <c r="D3" s="163"/>
      <c r="G3" s="164">
        <f>'1-Contractblad dag'!G8</f>
        <v>0</v>
      </c>
      <c r="H3" s="165" t="s">
        <v>675</v>
      </c>
    </row>
    <row r="4" spans="1:33" ht="18" customHeight="1">
      <c r="A4" s="12" t="str">
        <f>'1-Contractblad dag'!A4</f>
        <v>Calculatie onderdeel</v>
      </c>
      <c r="B4" s="14" t="s">
        <v>676</v>
      </c>
      <c r="C4" s="152"/>
      <c r="D4" s="166"/>
      <c r="G4" s="164">
        <f>'1-Contractblad dag'!G9</f>
        <v>0</v>
      </c>
      <c r="H4" s="165" t="s">
        <v>675</v>
      </c>
    </row>
    <row r="5" spans="1:33" ht="18" customHeight="1">
      <c r="A5" s="12" t="str">
        <f>'1-Contractblad dag'!A5</f>
        <v>Gebouw/plaats</v>
      </c>
      <c r="B5" s="14" t="str">
        <f>'1-Contractblad dag'!B5</f>
        <v>Totaal</v>
      </c>
      <c r="C5" s="152"/>
      <c r="D5" s="166"/>
      <c r="G5" s="164">
        <f>'1-Contractblad dag'!G10</f>
        <v>0</v>
      </c>
      <c r="H5" s="165" t="s">
        <v>675</v>
      </c>
    </row>
    <row r="6" spans="1:33" ht="18" customHeight="1">
      <c r="A6" s="12" t="str">
        <f>'1-Contractblad dag'!A6</f>
        <v>Besteknummer</v>
      </c>
      <c r="B6" s="14" t="str">
        <f>'1-Contractblad dag'!B6</f>
        <v>Calculatie-GFM -2026.01 (prijspeil 1-1-2027)</v>
      </c>
      <c r="C6" s="152"/>
      <c r="D6" s="166"/>
      <c r="G6" s="164">
        <f>'1-Contractblad dag'!G11</f>
        <v>0</v>
      </c>
      <c r="H6" s="165" t="s">
        <v>675</v>
      </c>
    </row>
    <row r="7" spans="1:33" ht="18" customHeight="1">
      <c r="A7" s="12" t="str">
        <f>'1-Contractblad dag'!A7</f>
        <v>Naam leverancier</v>
      </c>
      <c r="B7" s="14" t="str">
        <f>'1-Contractblad dag'!B7</f>
        <v>Vaste calculatie</v>
      </c>
      <c r="C7" s="152"/>
      <c r="D7" s="166"/>
      <c r="G7" s="164">
        <f>'1-Contractblad dag'!G12</f>
        <v>0</v>
      </c>
      <c r="H7" s="165" t="s">
        <v>675</v>
      </c>
      <c r="AC7" s="184"/>
    </row>
    <row r="8" spans="1:33" ht="18" customHeight="1">
      <c r="A8" s="12" t="str">
        <f>'1-Contractblad dag'!A8</f>
        <v>Prijspeil</v>
      </c>
      <c r="B8" s="167">
        <f>'1-Contractblad dag'!B8</f>
        <v>46388</v>
      </c>
      <c r="C8" s="152"/>
      <c r="D8" s="166"/>
      <c r="G8" s="164">
        <f>'1-Contractblad dag'!G13</f>
        <v>0</v>
      </c>
      <c r="H8" s="165" t="s">
        <v>675</v>
      </c>
    </row>
    <row r="9" spans="1:33" ht="18" customHeight="1">
      <c r="A9" s="12" t="str">
        <f>'1-Contractblad dag'!A9</f>
        <v>Bijzonderheden</v>
      </c>
      <c r="B9" s="168" t="s">
        <v>677</v>
      </c>
      <c r="C9" s="152"/>
      <c r="D9" s="166"/>
      <c r="G9" s="164">
        <f>'1-Contractblad dag'!G14</f>
        <v>0</v>
      </c>
      <c r="H9" s="165" t="s">
        <v>675</v>
      </c>
    </row>
    <row r="10" spans="1:33" ht="12.75" customHeight="1">
      <c r="A10" s="12"/>
      <c r="B10" s="168"/>
      <c r="C10" s="152"/>
      <c r="D10" s="166"/>
    </row>
    <row r="11" spans="1:33" ht="12.75" customHeight="1" thickBot="1">
      <c r="A11" s="25"/>
      <c r="B11" s="169"/>
      <c r="C11" s="169"/>
      <c r="D11" s="169"/>
    </row>
    <row r="12" spans="1:33" ht="18" customHeight="1">
      <c r="A12" s="170" t="s">
        <v>678</v>
      </c>
      <c r="B12" s="517"/>
      <c r="C12" s="517"/>
      <c r="D12" s="518"/>
      <c r="E12" s="518"/>
      <c r="F12" s="519"/>
      <c r="G12" s="519"/>
      <c r="H12" s="519"/>
      <c r="I12" s="519"/>
      <c r="J12" s="519"/>
      <c r="K12" s="519"/>
      <c r="L12" s="519"/>
      <c r="M12" s="519"/>
      <c r="N12" s="519"/>
      <c r="O12" s="519"/>
      <c r="P12" s="519"/>
      <c r="Q12" s="519"/>
      <c r="R12" s="519"/>
      <c r="S12" s="519"/>
      <c r="T12" s="519"/>
      <c r="U12" s="519"/>
      <c r="V12" s="519"/>
      <c r="W12" s="519"/>
      <c r="X12" s="519"/>
      <c r="Y12" s="519"/>
      <c r="Z12" s="519"/>
      <c r="AA12" s="706" t="s">
        <v>679</v>
      </c>
      <c r="AB12" s="707"/>
      <c r="AC12" s="707"/>
      <c r="AD12" s="708"/>
    </row>
    <row r="13" spans="1:33" s="192" customFormat="1" ht="12.75" customHeight="1">
      <c r="A13" s="191">
        <v>1</v>
      </c>
      <c r="B13" s="191">
        <v>2</v>
      </c>
      <c r="C13" s="191">
        <v>3</v>
      </c>
      <c r="D13" s="191">
        <v>4</v>
      </c>
      <c r="E13" s="191">
        <v>5</v>
      </c>
      <c r="F13" s="191">
        <v>6</v>
      </c>
      <c r="G13" s="191">
        <v>7</v>
      </c>
      <c r="H13" s="191">
        <v>8</v>
      </c>
      <c r="I13" s="191">
        <v>9</v>
      </c>
      <c r="J13" s="191">
        <v>10</v>
      </c>
      <c r="K13" s="191">
        <v>11</v>
      </c>
      <c r="L13" s="191">
        <v>12</v>
      </c>
      <c r="M13" s="191">
        <v>13</v>
      </c>
      <c r="N13" s="191">
        <v>14</v>
      </c>
      <c r="O13" s="191">
        <v>15</v>
      </c>
      <c r="P13" s="191">
        <v>16</v>
      </c>
      <c r="Q13" s="191">
        <v>17</v>
      </c>
      <c r="R13" s="191">
        <v>18</v>
      </c>
      <c r="S13" s="191">
        <v>19</v>
      </c>
      <c r="T13" s="191">
        <v>20</v>
      </c>
      <c r="U13" s="191">
        <v>21</v>
      </c>
      <c r="V13" s="191">
        <v>22</v>
      </c>
      <c r="W13" s="191">
        <v>23</v>
      </c>
      <c r="X13" s="191">
        <v>24</v>
      </c>
      <c r="Y13" s="191">
        <v>25</v>
      </c>
      <c r="AA13" s="193"/>
      <c r="AB13" s="194"/>
      <c r="AC13" s="194"/>
      <c r="AD13" s="195"/>
    </row>
    <row r="14" spans="1:33" s="187" customFormat="1" ht="43" customHeight="1">
      <c r="A14" s="185" t="s">
        <v>56</v>
      </c>
      <c r="B14" s="188" t="s">
        <v>680</v>
      </c>
      <c r="C14" s="186" t="s">
        <v>61</v>
      </c>
      <c r="D14" s="186" t="s">
        <v>23</v>
      </c>
      <c r="E14" s="186" t="s">
        <v>5</v>
      </c>
      <c r="G14" s="188" t="s">
        <v>681</v>
      </c>
      <c r="H14" s="186" t="s">
        <v>61</v>
      </c>
      <c r="I14" s="186" t="s">
        <v>23</v>
      </c>
      <c r="J14" s="186" t="s">
        <v>5</v>
      </c>
      <c r="L14" s="188" t="s">
        <v>682</v>
      </c>
      <c r="M14" s="186" t="s">
        <v>61</v>
      </c>
      <c r="N14" s="186" t="s">
        <v>23</v>
      </c>
      <c r="O14" s="186" t="s">
        <v>5</v>
      </c>
      <c r="Q14" s="376" t="s">
        <v>683</v>
      </c>
      <c r="R14" s="189" t="s">
        <v>61</v>
      </c>
      <c r="S14" s="189" t="s">
        <v>23</v>
      </c>
      <c r="T14" s="189" t="s">
        <v>5</v>
      </c>
      <c r="V14" s="376" t="s">
        <v>684</v>
      </c>
      <c r="W14" s="189" t="s">
        <v>61</v>
      </c>
      <c r="X14" s="189" t="s">
        <v>23</v>
      </c>
      <c r="Y14" s="189" t="s">
        <v>5</v>
      </c>
      <c r="AA14" s="190" t="s">
        <v>685</v>
      </c>
      <c r="AB14" s="189" t="s">
        <v>686</v>
      </c>
      <c r="AC14" s="189" t="s">
        <v>687</v>
      </c>
      <c r="AD14" s="674" t="s">
        <v>688</v>
      </c>
      <c r="AE14" s="677" t="s">
        <v>689</v>
      </c>
    </row>
    <row r="15" spans="1:33" s="392" customFormat="1" ht="17" customHeight="1">
      <c r="A15" s="387"/>
      <c r="B15" s="388"/>
      <c r="C15" s="387"/>
      <c r="D15" s="388"/>
      <c r="E15" s="387"/>
      <c r="F15" s="388"/>
      <c r="G15" s="387"/>
      <c r="H15" s="388"/>
      <c r="I15" s="387"/>
      <c r="J15" s="388"/>
      <c r="K15" s="387"/>
      <c r="L15" s="388"/>
      <c r="M15" s="387"/>
      <c r="N15" s="388"/>
      <c r="O15" s="387"/>
      <c r="P15" s="388"/>
      <c r="Q15" s="387"/>
      <c r="R15" s="388"/>
      <c r="S15" s="387"/>
      <c r="T15" s="388"/>
      <c r="U15" s="387"/>
      <c r="V15" s="388"/>
      <c r="W15" s="387"/>
      <c r="X15" s="388"/>
      <c r="Y15" s="387"/>
      <c r="Z15" s="389"/>
      <c r="AA15" s="390"/>
      <c r="AB15" s="391"/>
      <c r="AC15" s="388">
        <v>0</v>
      </c>
      <c r="AD15" s="675"/>
      <c r="AE15" s="678"/>
      <c r="AF15" s="499" t="s">
        <v>690</v>
      </c>
    </row>
    <row r="16" spans="1:33" s="392" customFormat="1" ht="20" customHeight="1">
      <c r="A16" s="393" t="s">
        <v>180</v>
      </c>
      <c r="B16" s="388">
        <v>0</v>
      </c>
      <c r="C16" s="394">
        <v>3</v>
      </c>
      <c r="D16" s="395">
        <v>0</v>
      </c>
      <c r="E16" s="396">
        <f t="shared" ref="E16:E41" si="0">D16*C16*B16*(100%+$G$3)*(100%+$G$4)*(100%+$G$5)*(100%+$G$6)*(100%+$G$7)*(100%+$G$8)*(100%+$G$9)</f>
        <v>0</v>
      </c>
      <c r="G16" s="388">
        <v>0</v>
      </c>
      <c r="H16" s="394">
        <v>0</v>
      </c>
      <c r="I16" s="395">
        <v>0</v>
      </c>
      <c r="J16" s="396">
        <f t="shared" ref="J16:J41" si="1">I16*H16*G16*(100%+$G$3)*(100%+$G$4)*(100%+$G$5)*(100%+$G$6)*(100%+$G$7)*(100%+$G$8)*(100%+$G$9)</f>
        <v>0</v>
      </c>
      <c r="L16" s="388">
        <v>0</v>
      </c>
      <c r="M16" s="394">
        <v>0</v>
      </c>
      <c r="N16" s="395">
        <v>0</v>
      </c>
      <c r="O16" s="396">
        <f t="shared" ref="O16:O41" si="2">N16*M16*L16*(100%+$G$3)*(100%+$G$4)*(100%+$G$5)*(100%+$G$6)*(100%+$G$7)*(100%+$G$8)*(100%+$G$9)</f>
        <v>0</v>
      </c>
      <c r="Q16" s="520"/>
      <c r="R16" s="397"/>
      <c r="S16" s="521">
        <v>0</v>
      </c>
      <c r="T16" s="396">
        <f t="shared" ref="T16:T41" si="3">S16*R16*Q16*(100%+$G$3)*(100%+$G$4)*(100%+$G$5)*(100%+$G$6)*(100%+$G$7)*(100%+$G$8)*(100%+$G$9)</f>
        <v>0</v>
      </c>
      <c r="V16" s="520"/>
      <c r="W16" s="398"/>
      <c r="X16" s="399">
        <v>0</v>
      </c>
      <c r="Y16" s="396">
        <f t="shared" ref="Y16:Y41" si="4">X16*W16*(100%+$G$3)*(100%+$G$4)*(100%+$G$5)*(100%+$G$6)*(100%+$G$7)*(100%+$G$8)*(100%+$G$9)</f>
        <v>0</v>
      </c>
      <c r="AA16" s="400">
        <f>((SUMIF('3-Basis ruimtestaat'!C:C,A16,uren_mavr))+(SUMIF('3-Basis ruimtestaat'!C:C,A16,uren_naloop)))</f>
        <v>0</v>
      </c>
      <c r="AB16" s="397">
        <v>26</v>
      </c>
      <c r="AC16" s="401" t="str">
        <f t="shared" ref="AC16:AC41" si="5">IF(AA16=0,"",AA16/AB16)</f>
        <v/>
      </c>
      <c r="AD16" s="676">
        <f>IF(AC16&lt;$AC$15,$AC$15-AC16)*'1-Contractblad dag'!$I$23*AB16</f>
        <v>0</v>
      </c>
      <c r="AE16" s="679">
        <f>E16+J16+O16+T16+Y16</f>
        <v>0</v>
      </c>
      <c r="AF16" s="392" t="s">
        <v>179</v>
      </c>
      <c r="AG16" s="392" t="s">
        <v>691</v>
      </c>
    </row>
    <row r="17" spans="1:33" s="392" customFormat="1" ht="20" customHeight="1">
      <c r="A17" s="393" t="s">
        <v>57</v>
      </c>
      <c r="B17" s="388">
        <v>1249.8</v>
      </c>
      <c r="C17" s="394">
        <v>3</v>
      </c>
      <c r="D17" s="402">
        <f t="shared" ref="D17:D41" si="6">D16</f>
        <v>0</v>
      </c>
      <c r="E17" s="396">
        <f t="shared" si="0"/>
        <v>0</v>
      </c>
      <c r="G17" s="388">
        <v>1396.99</v>
      </c>
      <c r="H17" s="394">
        <v>2</v>
      </c>
      <c r="I17" s="402">
        <f t="shared" ref="I17:I41" si="7">I16</f>
        <v>0</v>
      </c>
      <c r="J17" s="396">
        <f t="shared" si="1"/>
        <v>0</v>
      </c>
      <c r="L17" s="388">
        <v>1242.2</v>
      </c>
      <c r="M17" s="394">
        <v>2</v>
      </c>
      <c r="N17" s="402">
        <f t="shared" ref="N17:N26" si="8">N16</f>
        <v>0</v>
      </c>
      <c r="O17" s="396">
        <f t="shared" si="2"/>
        <v>0</v>
      </c>
      <c r="Q17" s="520"/>
      <c r="R17" s="397"/>
      <c r="S17" s="522">
        <f t="shared" ref="S17:S41" si="9">S16</f>
        <v>0</v>
      </c>
      <c r="T17" s="396">
        <f t="shared" si="3"/>
        <v>0</v>
      </c>
      <c r="V17" s="520" t="s">
        <v>692</v>
      </c>
      <c r="W17" s="398">
        <v>3</v>
      </c>
      <c r="X17" s="673">
        <v>0</v>
      </c>
      <c r="Y17" s="396">
        <f t="shared" si="4"/>
        <v>0</v>
      </c>
      <c r="AA17" s="400">
        <f>((SUMIF('3-Basis ruimtestaat'!C:C,A17,uren_mavr))+(SUMIF('3-Basis ruimtestaat'!C:C,A17,uren_naloop)))</f>
        <v>2849.5173909411769</v>
      </c>
      <c r="AB17" s="397">
        <v>255</v>
      </c>
      <c r="AC17" s="403">
        <f t="shared" si="5"/>
        <v>11.17457800369089</v>
      </c>
      <c r="AD17" s="676">
        <f>IF(AC17&lt;$AC$15,$AC$15-AC17)*'1-Contractblad dag'!$I$23*AB17</f>
        <v>0</v>
      </c>
      <c r="AE17" s="679">
        <f t="shared" ref="AE17:AE43" si="10">E17+J17+O17+T17+Y17</f>
        <v>0</v>
      </c>
      <c r="AF17" s="392" t="s">
        <v>180</v>
      </c>
      <c r="AG17" s="392">
        <v>26</v>
      </c>
    </row>
    <row r="18" spans="1:33" s="392" customFormat="1" ht="20" customHeight="1">
      <c r="A18" s="393" t="s">
        <v>181</v>
      </c>
      <c r="B18" s="388">
        <v>54.1</v>
      </c>
      <c r="C18" s="394">
        <v>3</v>
      </c>
      <c r="D18" s="402">
        <f t="shared" si="6"/>
        <v>0</v>
      </c>
      <c r="E18" s="396">
        <f t="shared" si="0"/>
        <v>0</v>
      </c>
      <c r="G18" s="388">
        <v>54.1</v>
      </c>
      <c r="H18" s="394">
        <v>2</v>
      </c>
      <c r="I18" s="402">
        <f t="shared" si="7"/>
        <v>0</v>
      </c>
      <c r="J18" s="396">
        <f t="shared" si="1"/>
        <v>0</v>
      </c>
      <c r="L18" s="388">
        <v>46.16</v>
      </c>
      <c r="M18" s="394">
        <v>2</v>
      </c>
      <c r="N18" s="402">
        <f t="shared" si="8"/>
        <v>0</v>
      </c>
      <c r="O18" s="396">
        <f t="shared" si="2"/>
        <v>0</v>
      </c>
      <c r="Q18" s="520"/>
      <c r="R18" s="397"/>
      <c r="S18" s="522">
        <f t="shared" si="9"/>
        <v>0</v>
      </c>
      <c r="T18" s="396">
        <f t="shared" si="3"/>
        <v>0</v>
      </c>
      <c r="V18" s="520"/>
      <c r="W18" s="398"/>
      <c r="X18" s="399">
        <v>0</v>
      </c>
      <c r="Y18" s="396">
        <f t="shared" si="4"/>
        <v>0</v>
      </c>
      <c r="AA18" s="400">
        <f>((SUMIF('3-Basis ruimtestaat'!C:C,A18,uren_mavr))+(SUMIF('3-Basis ruimtestaat'!C:C,A18,uren_naloop)))</f>
        <v>97.787909999999997</v>
      </c>
      <c r="AB18" s="397">
        <v>255</v>
      </c>
      <c r="AC18" s="403">
        <f t="shared" si="5"/>
        <v>0.38348199999999999</v>
      </c>
      <c r="AD18" s="676">
        <f>IF(AC18&lt;$AC$15,$AC$15-AC18)*'1-Contractblad dag'!$I$23*AB18</f>
        <v>0</v>
      </c>
      <c r="AE18" s="679">
        <f t="shared" si="10"/>
        <v>0</v>
      </c>
      <c r="AF18" s="392" t="s">
        <v>57</v>
      </c>
      <c r="AG18" s="392">
        <v>255</v>
      </c>
    </row>
    <row r="19" spans="1:33" s="392" customFormat="1" ht="20" customHeight="1">
      <c r="A19" s="393" t="s">
        <v>182</v>
      </c>
      <c r="B19" s="388">
        <v>88.28</v>
      </c>
      <c r="C19" s="394">
        <v>4</v>
      </c>
      <c r="D19" s="402">
        <f t="shared" si="6"/>
        <v>0</v>
      </c>
      <c r="E19" s="396">
        <f t="shared" si="0"/>
        <v>0</v>
      </c>
      <c r="G19" s="388">
        <v>88.28</v>
      </c>
      <c r="H19" s="394">
        <v>2</v>
      </c>
      <c r="I19" s="402">
        <f t="shared" si="7"/>
        <v>0</v>
      </c>
      <c r="J19" s="396">
        <f t="shared" si="1"/>
        <v>0</v>
      </c>
      <c r="L19" s="388">
        <v>79.8</v>
      </c>
      <c r="M19" s="394">
        <v>2</v>
      </c>
      <c r="N19" s="402">
        <f t="shared" si="8"/>
        <v>0</v>
      </c>
      <c r="O19" s="396">
        <f t="shared" si="2"/>
        <v>0</v>
      </c>
      <c r="Q19" s="520"/>
      <c r="R19" s="397"/>
      <c r="S19" s="522">
        <f t="shared" si="9"/>
        <v>0</v>
      </c>
      <c r="T19" s="396">
        <f t="shared" si="3"/>
        <v>0</v>
      </c>
      <c r="V19" s="520"/>
      <c r="W19" s="398"/>
      <c r="X19" s="399">
        <v>0</v>
      </c>
      <c r="Y19" s="396">
        <f t="shared" si="4"/>
        <v>0</v>
      </c>
      <c r="AA19" s="400">
        <f>((SUMIF('3-Basis ruimtestaat'!C:C,A19,uren_mavr))+(SUMIF('3-Basis ruimtestaat'!C:C,A19,uren_naloop)))</f>
        <v>343.72572352941182</v>
      </c>
      <c r="AB19" s="397">
        <v>255</v>
      </c>
      <c r="AC19" s="403">
        <f t="shared" si="5"/>
        <v>1.3479440138408307</v>
      </c>
      <c r="AD19" s="676">
        <f>IF(AC19&lt;$AC$15,$AC$15-AC19)*'1-Contractblad dag'!$I$23*AB19</f>
        <v>0</v>
      </c>
      <c r="AE19" s="679">
        <f t="shared" si="10"/>
        <v>0</v>
      </c>
      <c r="AF19" s="392" t="s">
        <v>181</v>
      </c>
      <c r="AG19" s="392">
        <v>255</v>
      </c>
    </row>
    <row r="20" spans="1:33" s="392" customFormat="1" ht="20" customHeight="1">
      <c r="A20" s="393" t="s">
        <v>183</v>
      </c>
      <c r="B20" s="388">
        <v>3.45</v>
      </c>
      <c r="C20" s="394">
        <v>4</v>
      </c>
      <c r="D20" s="402">
        <f t="shared" si="6"/>
        <v>0</v>
      </c>
      <c r="E20" s="396">
        <f t="shared" si="0"/>
        <v>0</v>
      </c>
      <c r="G20" s="388">
        <v>3.45</v>
      </c>
      <c r="H20" s="394">
        <v>2</v>
      </c>
      <c r="I20" s="402">
        <f t="shared" si="7"/>
        <v>0</v>
      </c>
      <c r="J20" s="396">
        <f t="shared" si="1"/>
        <v>0</v>
      </c>
      <c r="L20" s="388">
        <v>0</v>
      </c>
      <c r="M20" s="394">
        <v>2</v>
      </c>
      <c r="N20" s="402">
        <f t="shared" si="8"/>
        <v>0</v>
      </c>
      <c r="O20" s="396">
        <f t="shared" si="2"/>
        <v>0</v>
      </c>
      <c r="Q20" s="520"/>
      <c r="R20" s="397"/>
      <c r="S20" s="522">
        <f t="shared" si="9"/>
        <v>0</v>
      </c>
      <c r="T20" s="396">
        <f t="shared" si="3"/>
        <v>0</v>
      </c>
      <c r="V20" s="520"/>
      <c r="W20" s="398"/>
      <c r="X20" s="399">
        <v>0</v>
      </c>
      <c r="Y20" s="396">
        <f t="shared" si="4"/>
        <v>0</v>
      </c>
      <c r="AA20" s="400">
        <f>((SUMIF('3-Basis ruimtestaat'!C:C,A20,uren_mavr))+(SUMIF('3-Basis ruimtestaat'!C:C,A20,uren_naloop)))</f>
        <v>13.421006000000002</v>
      </c>
      <c r="AB20" s="397">
        <v>255</v>
      </c>
      <c r="AC20" s="401">
        <f t="shared" si="5"/>
        <v>5.2631396078431383E-2</v>
      </c>
      <c r="AD20" s="676">
        <f>IF(AC20&lt;$AC$15,$AC$15-AC20)*'1-Contractblad dag'!$I$23*AB20</f>
        <v>0</v>
      </c>
      <c r="AE20" s="679">
        <f t="shared" si="10"/>
        <v>0</v>
      </c>
      <c r="AF20" s="392" t="s">
        <v>182</v>
      </c>
      <c r="AG20" s="392">
        <v>255</v>
      </c>
    </row>
    <row r="21" spans="1:33" s="392" customFormat="1" ht="20" customHeight="1">
      <c r="A21" s="393" t="s">
        <v>184</v>
      </c>
      <c r="B21" s="388">
        <v>114.71</v>
      </c>
      <c r="C21" s="394">
        <v>3</v>
      </c>
      <c r="D21" s="402">
        <f t="shared" si="6"/>
        <v>0</v>
      </c>
      <c r="E21" s="396">
        <f t="shared" si="0"/>
        <v>0</v>
      </c>
      <c r="G21" s="388">
        <v>114.71</v>
      </c>
      <c r="H21" s="394">
        <v>2</v>
      </c>
      <c r="I21" s="402">
        <f t="shared" si="7"/>
        <v>0</v>
      </c>
      <c r="J21" s="396">
        <f t="shared" si="1"/>
        <v>0</v>
      </c>
      <c r="L21" s="388">
        <v>14</v>
      </c>
      <c r="M21" s="394">
        <v>2</v>
      </c>
      <c r="N21" s="402">
        <f t="shared" si="8"/>
        <v>0</v>
      </c>
      <c r="O21" s="396">
        <f t="shared" si="2"/>
        <v>0</v>
      </c>
      <c r="Q21" s="520"/>
      <c r="R21" s="397"/>
      <c r="S21" s="522">
        <f t="shared" si="9"/>
        <v>0</v>
      </c>
      <c r="T21" s="396">
        <f t="shared" si="3"/>
        <v>0</v>
      </c>
      <c r="V21" s="520"/>
      <c r="W21" s="398"/>
      <c r="X21" s="399">
        <v>0</v>
      </c>
      <c r="Y21" s="396">
        <f t="shared" si="4"/>
        <v>0</v>
      </c>
      <c r="AA21" s="400">
        <f>((SUMIF('3-Basis ruimtestaat'!C:C,A21,uren_mavr))+(SUMIF('3-Basis ruimtestaat'!C:C,A21,uren_naloop)))</f>
        <v>353.81277258823536</v>
      </c>
      <c r="AB21" s="397">
        <v>255</v>
      </c>
      <c r="AC21" s="401">
        <f t="shared" si="5"/>
        <v>1.3875010689734719</v>
      </c>
      <c r="AD21" s="676">
        <f>IF(AC21&lt;$AC$15,$AC$15-AC21)*'1-Contractblad dag'!$I$23*AB21</f>
        <v>0</v>
      </c>
      <c r="AE21" s="679">
        <f t="shared" si="10"/>
        <v>0</v>
      </c>
      <c r="AF21" s="392" t="s">
        <v>183</v>
      </c>
      <c r="AG21" s="392">
        <v>255</v>
      </c>
    </row>
    <row r="22" spans="1:33" s="392" customFormat="1" ht="20" customHeight="1">
      <c r="A22" s="393" t="s">
        <v>693</v>
      </c>
      <c r="B22" s="388">
        <v>186</v>
      </c>
      <c r="C22" s="394">
        <v>3</v>
      </c>
      <c r="D22" s="402">
        <f t="shared" si="6"/>
        <v>0</v>
      </c>
      <c r="E22" s="396">
        <f t="shared" si="0"/>
        <v>0</v>
      </c>
      <c r="G22" s="388">
        <v>186</v>
      </c>
      <c r="H22" s="394">
        <v>2</v>
      </c>
      <c r="I22" s="402">
        <f t="shared" si="7"/>
        <v>0</v>
      </c>
      <c r="J22" s="396">
        <f t="shared" si="1"/>
        <v>0</v>
      </c>
      <c r="L22" s="388">
        <v>0</v>
      </c>
      <c r="M22" s="394">
        <v>2</v>
      </c>
      <c r="N22" s="402">
        <f t="shared" si="8"/>
        <v>0</v>
      </c>
      <c r="O22" s="396">
        <f t="shared" si="2"/>
        <v>0</v>
      </c>
      <c r="Q22" s="520"/>
      <c r="R22" s="397"/>
      <c r="S22" s="522">
        <f t="shared" si="9"/>
        <v>0</v>
      </c>
      <c r="T22" s="396">
        <f t="shared" si="3"/>
        <v>0</v>
      </c>
      <c r="V22" s="520"/>
      <c r="W22" s="398"/>
      <c r="X22" s="399">
        <v>0</v>
      </c>
      <c r="Y22" s="396">
        <f t="shared" si="4"/>
        <v>0</v>
      </c>
      <c r="AA22" s="400">
        <f>((SUMIF('3-Basis ruimtestaat'!C:C,A22,uren_mavr))+(SUMIF('3-Basis ruimtestaat'!C:C,A22,uren_naloop)))</f>
        <v>0</v>
      </c>
      <c r="AB22" s="397">
        <v>0</v>
      </c>
      <c r="AC22" s="401" t="str">
        <f t="shared" si="5"/>
        <v/>
      </c>
      <c r="AD22" s="676">
        <f>IF(AC22&lt;$AC$15,$AC$15-AC22)*'1-Contractblad dag'!$I$23*AB22</f>
        <v>0</v>
      </c>
      <c r="AE22" s="679">
        <f t="shared" si="10"/>
        <v>0</v>
      </c>
      <c r="AF22" s="392" t="s">
        <v>184</v>
      </c>
      <c r="AG22" s="392">
        <v>255</v>
      </c>
    </row>
    <row r="23" spans="1:33" s="392" customFormat="1" ht="20" customHeight="1">
      <c r="A23" s="393" t="s">
        <v>185</v>
      </c>
      <c r="B23" s="388">
        <v>18.989999999999998</v>
      </c>
      <c r="C23" s="394">
        <v>3</v>
      </c>
      <c r="D23" s="402">
        <f t="shared" si="6"/>
        <v>0</v>
      </c>
      <c r="E23" s="396">
        <f t="shared" si="0"/>
        <v>0</v>
      </c>
      <c r="G23" s="388">
        <v>18.989999999999998</v>
      </c>
      <c r="H23" s="394">
        <v>2</v>
      </c>
      <c r="I23" s="402">
        <f t="shared" si="7"/>
        <v>0</v>
      </c>
      <c r="J23" s="396">
        <f t="shared" si="1"/>
        <v>0</v>
      </c>
      <c r="L23" s="388">
        <v>0</v>
      </c>
      <c r="M23" s="394">
        <v>2</v>
      </c>
      <c r="N23" s="402">
        <f t="shared" si="8"/>
        <v>0</v>
      </c>
      <c r="O23" s="396">
        <f t="shared" si="2"/>
        <v>0</v>
      </c>
      <c r="Q23" s="520"/>
      <c r="R23" s="397"/>
      <c r="S23" s="522">
        <f t="shared" si="9"/>
        <v>0</v>
      </c>
      <c r="T23" s="396">
        <f t="shared" si="3"/>
        <v>0</v>
      </c>
      <c r="V23" s="520"/>
      <c r="W23" s="398"/>
      <c r="X23" s="399">
        <v>0</v>
      </c>
      <c r="Y23" s="396">
        <f t="shared" si="4"/>
        <v>0</v>
      </c>
      <c r="AA23" s="400">
        <f>((SUMIF('3-Basis ruimtestaat'!C:C,A23,uren_mavr))+(SUMIF('3-Basis ruimtestaat'!C:C,A23,uren_naloop)))</f>
        <v>72.787082941176465</v>
      </c>
      <c r="AB23" s="397">
        <v>205</v>
      </c>
      <c r="AC23" s="401">
        <f t="shared" si="5"/>
        <v>0.35505894117647058</v>
      </c>
      <c r="AD23" s="676">
        <f>IF(AC23&lt;$AC$15,$AC$15-AC23)*'1-Contractblad dag'!$I$23*AB23</f>
        <v>0</v>
      </c>
      <c r="AE23" s="679">
        <f t="shared" si="10"/>
        <v>0</v>
      </c>
      <c r="AF23" s="392" t="s">
        <v>185</v>
      </c>
      <c r="AG23" s="392">
        <v>205</v>
      </c>
    </row>
    <row r="24" spans="1:33" s="392" customFormat="1" ht="20" customHeight="1">
      <c r="A24" s="393" t="s">
        <v>694</v>
      </c>
      <c r="B24" s="388">
        <v>176.5</v>
      </c>
      <c r="C24" s="394">
        <v>3</v>
      </c>
      <c r="D24" s="402">
        <f t="shared" si="6"/>
        <v>0</v>
      </c>
      <c r="E24" s="396">
        <f t="shared" si="0"/>
        <v>0</v>
      </c>
      <c r="G24" s="388">
        <v>176.5</v>
      </c>
      <c r="H24" s="394">
        <v>2</v>
      </c>
      <c r="I24" s="402">
        <f t="shared" si="7"/>
        <v>0</v>
      </c>
      <c r="J24" s="396">
        <f t="shared" si="1"/>
        <v>0</v>
      </c>
      <c r="L24" s="388">
        <v>2</v>
      </c>
      <c r="M24" s="394">
        <v>2</v>
      </c>
      <c r="N24" s="402">
        <f t="shared" si="8"/>
        <v>0</v>
      </c>
      <c r="O24" s="396">
        <f t="shared" si="2"/>
        <v>0</v>
      </c>
      <c r="Q24" s="520"/>
      <c r="R24" s="397"/>
      <c r="S24" s="522">
        <f t="shared" si="9"/>
        <v>0</v>
      </c>
      <c r="T24" s="396">
        <f t="shared" si="3"/>
        <v>0</v>
      </c>
      <c r="V24" s="520"/>
      <c r="W24" s="398"/>
      <c r="X24" s="399">
        <v>0</v>
      </c>
      <c r="Y24" s="396">
        <f t="shared" si="4"/>
        <v>0</v>
      </c>
      <c r="AA24" s="400">
        <f>((SUMIF('3-Basis ruimtestaat'!C:C,A24,uren_mavr))+(SUMIF('3-Basis ruimtestaat'!C:C,A24,uren_naloop)))</f>
        <v>0</v>
      </c>
      <c r="AB24" s="397">
        <v>0</v>
      </c>
      <c r="AC24" s="401" t="str">
        <f t="shared" si="5"/>
        <v/>
      </c>
      <c r="AD24" s="676">
        <f>IF(AC24&lt;$AC$15,$AC$15-AC24)*'1-Contractblad dag'!$I$23*AB24</f>
        <v>0</v>
      </c>
      <c r="AE24" s="679">
        <f t="shared" si="10"/>
        <v>0</v>
      </c>
      <c r="AF24" s="392" t="s">
        <v>186</v>
      </c>
      <c r="AG24" s="392">
        <v>205</v>
      </c>
    </row>
    <row r="25" spans="1:33" s="392" customFormat="1" ht="20" customHeight="1">
      <c r="A25" s="393" t="s">
        <v>186</v>
      </c>
      <c r="B25" s="388">
        <v>176.5</v>
      </c>
      <c r="C25" s="394">
        <v>3</v>
      </c>
      <c r="D25" s="402">
        <f t="shared" si="6"/>
        <v>0</v>
      </c>
      <c r="E25" s="396">
        <f t="shared" si="0"/>
        <v>0</v>
      </c>
      <c r="G25" s="388">
        <v>176.5</v>
      </c>
      <c r="H25" s="394">
        <v>2</v>
      </c>
      <c r="I25" s="402">
        <f t="shared" si="7"/>
        <v>0</v>
      </c>
      <c r="J25" s="396">
        <f t="shared" si="1"/>
        <v>0</v>
      </c>
      <c r="L25" s="388">
        <v>2</v>
      </c>
      <c r="M25" s="394">
        <v>2</v>
      </c>
      <c r="N25" s="402">
        <f t="shared" si="8"/>
        <v>0</v>
      </c>
      <c r="O25" s="396">
        <f t="shared" si="2"/>
        <v>0</v>
      </c>
      <c r="Q25" s="520"/>
      <c r="R25" s="397"/>
      <c r="S25" s="522">
        <f t="shared" si="9"/>
        <v>0</v>
      </c>
      <c r="T25" s="396">
        <f t="shared" si="3"/>
        <v>0</v>
      </c>
      <c r="V25" s="520"/>
      <c r="W25" s="398"/>
      <c r="X25" s="399">
        <v>0</v>
      </c>
      <c r="Y25" s="396">
        <f t="shared" si="4"/>
        <v>0</v>
      </c>
      <c r="AA25" s="400">
        <f>((SUMIF('3-Basis ruimtestaat'!C:C,A25,uren_mavr))+(SUMIF('3-Basis ruimtestaat'!C:C,A25,uren_naloop)))</f>
        <v>266.5573107647059</v>
      </c>
      <c r="AB25" s="397">
        <v>205</v>
      </c>
      <c r="AC25" s="401">
        <f t="shared" si="5"/>
        <v>1.3002795647058825</v>
      </c>
      <c r="AD25" s="676">
        <f>IF(AC25&lt;$AC$15,$AC$15-AC25)*'1-Contractblad dag'!$I$23*AB25</f>
        <v>0</v>
      </c>
      <c r="AE25" s="679">
        <f t="shared" si="10"/>
        <v>0</v>
      </c>
      <c r="AF25" s="392" t="s">
        <v>187</v>
      </c>
      <c r="AG25" s="392">
        <v>255</v>
      </c>
    </row>
    <row r="26" spans="1:33" s="392" customFormat="1" ht="20" customHeight="1">
      <c r="A26" s="393" t="s">
        <v>695</v>
      </c>
      <c r="B26" s="388">
        <v>167.34</v>
      </c>
      <c r="C26" s="394">
        <v>3</v>
      </c>
      <c r="D26" s="402">
        <f t="shared" si="6"/>
        <v>0</v>
      </c>
      <c r="E26" s="396">
        <f t="shared" si="0"/>
        <v>0</v>
      </c>
      <c r="G26" s="388">
        <v>167.34</v>
      </c>
      <c r="H26" s="394">
        <v>2</v>
      </c>
      <c r="I26" s="402">
        <f t="shared" si="7"/>
        <v>0</v>
      </c>
      <c r="J26" s="396">
        <f t="shared" si="1"/>
        <v>0</v>
      </c>
      <c r="L26" s="388">
        <v>0</v>
      </c>
      <c r="M26" s="394">
        <v>2</v>
      </c>
      <c r="N26" s="402">
        <f t="shared" si="8"/>
        <v>0</v>
      </c>
      <c r="O26" s="396">
        <f t="shared" si="2"/>
        <v>0</v>
      </c>
      <c r="Q26" s="520"/>
      <c r="R26" s="397"/>
      <c r="S26" s="522">
        <f t="shared" si="9"/>
        <v>0</v>
      </c>
      <c r="T26" s="396">
        <f t="shared" si="3"/>
        <v>0</v>
      </c>
      <c r="V26" s="520"/>
      <c r="W26" s="398"/>
      <c r="X26" s="399">
        <v>0</v>
      </c>
      <c r="Y26" s="396">
        <f t="shared" si="4"/>
        <v>0</v>
      </c>
      <c r="AA26" s="400">
        <f>((SUMIF('3-Basis ruimtestaat'!C:C,A26,uren_mavr))+(SUMIF('3-Basis ruimtestaat'!C:C,A26,uren_naloop)))</f>
        <v>0</v>
      </c>
      <c r="AB26" s="397">
        <v>0</v>
      </c>
      <c r="AC26" s="401" t="str">
        <f t="shared" si="5"/>
        <v/>
      </c>
      <c r="AD26" s="676">
        <f>IF(AC26&lt;$AC$15,$AC$15-AC26)*'1-Contractblad dag'!$I$23*AB26</f>
        <v>0</v>
      </c>
      <c r="AE26" s="679">
        <f t="shared" si="10"/>
        <v>0</v>
      </c>
      <c r="AF26" s="392" t="s">
        <v>188</v>
      </c>
      <c r="AG26" s="392">
        <v>255</v>
      </c>
    </row>
    <row r="27" spans="1:33" s="392" customFormat="1" ht="20" customHeight="1">
      <c r="A27" s="393" t="s">
        <v>187</v>
      </c>
      <c r="B27" s="388">
        <v>99.7</v>
      </c>
      <c r="C27" s="394">
        <v>3</v>
      </c>
      <c r="D27" s="402">
        <f t="shared" si="6"/>
        <v>0</v>
      </c>
      <c r="E27" s="396">
        <f t="shared" si="0"/>
        <v>0</v>
      </c>
      <c r="G27" s="388">
        <v>99.7</v>
      </c>
      <c r="H27" s="394">
        <v>2</v>
      </c>
      <c r="I27" s="402">
        <f t="shared" si="7"/>
        <v>0</v>
      </c>
      <c r="J27" s="396">
        <f t="shared" si="1"/>
        <v>0</v>
      </c>
      <c r="L27" s="388">
        <v>15.4</v>
      </c>
      <c r="M27" s="394">
        <v>2</v>
      </c>
      <c r="N27" s="402">
        <f>N25</f>
        <v>0</v>
      </c>
      <c r="O27" s="396">
        <f t="shared" si="2"/>
        <v>0</v>
      </c>
      <c r="Q27" s="520"/>
      <c r="R27" s="397"/>
      <c r="S27" s="522">
        <f t="shared" si="9"/>
        <v>0</v>
      </c>
      <c r="T27" s="396">
        <f t="shared" si="3"/>
        <v>0</v>
      </c>
      <c r="V27" s="520"/>
      <c r="W27" s="398"/>
      <c r="X27" s="399">
        <v>0</v>
      </c>
      <c r="Y27" s="396">
        <f t="shared" si="4"/>
        <v>0</v>
      </c>
      <c r="AA27" s="400">
        <f>((SUMIF('3-Basis ruimtestaat'!C:C,A27,uren_mavr))+(SUMIF('3-Basis ruimtestaat'!C:C,A27,uren_naloop)))</f>
        <v>348.44798776470583</v>
      </c>
      <c r="AB27" s="397">
        <v>255</v>
      </c>
      <c r="AC27" s="401">
        <f t="shared" si="5"/>
        <v>1.3664626971164935</v>
      </c>
      <c r="AD27" s="676">
        <f>IF(AC27&lt;$AC$15,$AC$15-AC27)*'1-Contractblad dag'!$I$23*AB27</f>
        <v>0</v>
      </c>
      <c r="AE27" s="679">
        <f t="shared" si="10"/>
        <v>0</v>
      </c>
      <c r="AF27" s="392" t="s">
        <v>189</v>
      </c>
      <c r="AG27" s="392">
        <v>255</v>
      </c>
    </row>
    <row r="28" spans="1:33" s="392" customFormat="1" ht="20" customHeight="1">
      <c r="A28" s="393" t="s">
        <v>188</v>
      </c>
      <c r="B28" s="388">
        <v>223.69</v>
      </c>
      <c r="C28" s="394">
        <v>3</v>
      </c>
      <c r="D28" s="402">
        <f t="shared" si="6"/>
        <v>0</v>
      </c>
      <c r="E28" s="396">
        <f t="shared" si="0"/>
        <v>0</v>
      </c>
      <c r="G28" s="388">
        <v>223.69</v>
      </c>
      <c r="H28" s="394">
        <v>2</v>
      </c>
      <c r="I28" s="402">
        <f t="shared" si="7"/>
        <v>0</v>
      </c>
      <c r="J28" s="396">
        <f t="shared" si="1"/>
        <v>0</v>
      </c>
      <c r="L28" s="388">
        <v>8.4</v>
      </c>
      <c r="M28" s="394">
        <v>2</v>
      </c>
      <c r="N28" s="402">
        <f t="shared" ref="N28:N35" si="11">N27</f>
        <v>0</v>
      </c>
      <c r="O28" s="396">
        <f t="shared" si="2"/>
        <v>0</v>
      </c>
      <c r="Q28" s="520"/>
      <c r="R28" s="397"/>
      <c r="S28" s="522">
        <f t="shared" si="9"/>
        <v>0</v>
      </c>
      <c r="T28" s="396">
        <f t="shared" si="3"/>
        <v>0</v>
      </c>
      <c r="V28" s="520"/>
      <c r="W28" s="398"/>
      <c r="X28" s="399">
        <v>0</v>
      </c>
      <c r="Y28" s="396">
        <f t="shared" si="4"/>
        <v>0</v>
      </c>
      <c r="AA28" s="400">
        <f>((SUMIF('3-Basis ruimtestaat'!C:C,A28,uren_mavr))+(SUMIF('3-Basis ruimtestaat'!C:C,A28,uren_naloop)))</f>
        <v>233.12369999999999</v>
      </c>
      <c r="AB28" s="397">
        <v>255</v>
      </c>
      <c r="AC28" s="401">
        <f t="shared" si="5"/>
        <v>0.91421058823529411</v>
      </c>
      <c r="AD28" s="676">
        <f>IF(AC28&lt;$AC$15,$AC$15-AC28)*'1-Contractblad dag'!$I$23*AB28</f>
        <v>0</v>
      </c>
      <c r="AE28" s="679">
        <f t="shared" si="10"/>
        <v>0</v>
      </c>
      <c r="AF28" s="392" t="s">
        <v>190</v>
      </c>
      <c r="AG28" s="392">
        <v>255</v>
      </c>
    </row>
    <row r="29" spans="1:33" s="392" customFormat="1" ht="20" customHeight="1">
      <c r="A29" s="393" t="s">
        <v>189</v>
      </c>
      <c r="B29" s="388">
        <v>236.6</v>
      </c>
      <c r="C29" s="394">
        <v>3</v>
      </c>
      <c r="D29" s="402">
        <f t="shared" si="6"/>
        <v>0</v>
      </c>
      <c r="E29" s="396">
        <f t="shared" si="0"/>
        <v>0</v>
      </c>
      <c r="G29" s="388">
        <v>89.1</v>
      </c>
      <c r="H29" s="394">
        <v>2</v>
      </c>
      <c r="I29" s="402">
        <f t="shared" si="7"/>
        <v>0</v>
      </c>
      <c r="J29" s="396">
        <f t="shared" si="1"/>
        <v>0</v>
      </c>
      <c r="L29" s="388">
        <v>0</v>
      </c>
      <c r="M29" s="394">
        <v>2</v>
      </c>
      <c r="N29" s="402">
        <f t="shared" si="11"/>
        <v>0</v>
      </c>
      <c r="O29" s="396">
        <f t="shared" si="2"/>
        <v>0</v>
      </c>
      <c r="Q29" s="520"/>
      <c r="R29" s="397"/>
      <c r="S29" s="522">
        <f t="shared" si="9"/>
        <v>0</v>
      </c>
      <c r="T29" s="396">
        <f t="shared" si="3"/>
        <v>0</v>
      </c>
      <c r="V29" s="520"/>
      <c r="W29" s="398"/>
      <c r="X29" s="399">
        <v>0</v>
      </c>
      <c r="Y29" s="396">
        <f t="shared" si="4"/>
        <v>0</v>
      </c>
      <c r="AA29" s="400">
        <f>((SUMIF('3-Basis ruimtestaat'!C:C,A29,uren_mavr))+(SUMIF('3-Basis ruimtestaat'!C:C,A29,uren_naloop)))</f>
        <v>311.7165</v>
      </c>
      <c r="AB29" s="397">
        <v>255</v>
      </c>
      <c r="AC29" s="401">
        <f t="shared" si="5"/>
        <v>1.2224176470588235</v>
      </c>
      <c r="AD29" s="676">
        <f>IF(AC29&lt;$AC$15,$AC$15-AC29)*'1-Contractblad dag'!$I$23*AB29</f>
        <v>0</v>
      </c>
      <c r="AE29" s="679">
        <f t="shared" si="10"/>
        <v>0</v>
      </c>
      <c r="AF29" s="392" t="s">
        <v>191</v>
      </c>
      <c r="AG29" s="392">
        <v>255</v>
      </c>
    </row>
    <row r="30" spans="1:33" s="392" customFormat="1" ht="20" customHeight="1">
      <c r="A30" s="393" t="s">
        <v>190</v>
      </c>
      <c r="B30" s="388">
        <v>547</v>
      </c>
      <c r="C30" s="394">
        <v>3</v>
      </c>
      <c r="D30" s="402">
        <f t="shared" si="6"/>
        <v>0</v>
      </c>
      <c r="E30" s="396">
        <f t="shared" si="0"/>
        <v>0</v>
      </c>
      <c r="G30" s="388">
        <v>120.9</v>
      </c>
      <c r="H30" s="394">
        <v>2</v>
      </c>
      <c r="I30" s="402">
        <f t="shared" si="7"/>
        <v>0</v>
      </c>
      <c r="J30" s="396">
        <f t="shared" si="1"/>
        <v>0</v>
      </c>
      <c r="L30" s="388">
        <v>0</v>
      </c>
      <c r="M30" s="394">
        <v>2</v>
      </c>
      <c r="N30" s="402">
        <f t="shared" si="11"/>
        <v>0</v>
      </c>
      <c r="O30" s="396">
        <f t="shared" si="2"/>
        <v>0</v>
      </c>
      <c r="Q30" s="520"/>
      <c r="R30" s="397"/>
      <c r="S30" s="522">
        <f t="shared" si="9"/>
        <v>0</v>
      </c>
      <c r="T30" s="396">
        <f t="shared" si="3"/>
        <v>0</v>
      </c>
      <c r="V30" s="520"/>
      <c r="W30" s="398"/>
      <c r="X30" s="399">
        <v>0</v>
      </c>
      <c r="Y30" s="396">
        <f t="shared" si="4"/>
        <v>0</v>
      </c>
      <c r="AA30" s="400">
        <f>((SUMIF('3-Basis ruimtestaat'!C:C,A30,uren_mavr))+(SUMIF('3-Basis ruimtestaat'!C:C,A30,uren_naloop)))</f>
        <v>787.61334999999997</v>
      </c>
      <c r="AB30" s="397">
        <v>255</v>
      </c>
      <c r="AC30" s="401">
        <f t="shared" si="5"/>
        <v>3.0886798039215684</v>
      </c>
      <c r="AD30" s="676">
        <f>IF(AC30&lt;$AC$15,$AC$15-AC30)*'1-Contractblad dag'!$I$23*AB30</f>
        <v>0</v>
      </c>
      <c r="AE30" s="679">
        <f t="shared" si="10"/>
        <v>0</v>
      </c>
      <c r="AF30" s="392" t="s">
        <v>192</v>
      </c>
      <c r="AG30" s="392">
        <v>52</v>
      </c>
    </row>
    <row r="31" spans="1:33" s="392" customFormat="1" ht="20" customHeight="1">
      <c r="A31" s="393" t="s">
        <v>191</v>
      </c>
      <c r="B31" s="388">
        <v>68.66</v>
      </c>
      <c r="C31" s="394">
        <v>3</v>
      </c>
      <c r="D31" s="402">
        <f t="shared" si="6"/>
        <v>0</v>
      </c>
      <c r="E31" s="396">
        <f t="shared" si="0"/>
        <v>0</v>
      </c>
      <c r="G31" s="388">
        <v>68.66</v>
      </c>
      <c r="H31" s="394">
        <v>2</v>
      </c>
      <c r="I31" s="402">
        <f t="shared" si="7"/>
        <v>0</v>
      </c>
      <c r="J31" s="396">
        <f t="shared" si="1"/>
        <v>0</v>
      </c>
      <c r="L31" s="388">
        <v>0</v>
      </c>
      <c r="M31" s="394">
        <v>2</v>
      </c>
      <c r="N31" s="402">
        <f t="shared" si="11"/>
        <v>0</v>
      </c>
      <c r="O31" s="396">
        <f t="shared" si="2"/>
        <v>0</v>
      </c>
      <c r="Q31" s="520"/>
      <c r="R31" s="397"/>
      <c r="S31" s="522">
        <f t="shared" si="9"/>
        <v>0</v>
      </c>
      <c r="T31" s="396">
        <f t="shared" si="3"/>
        <v>0</v>
      </c>
      <c r="V31" s="520"/>
      <c r="W31" s="398"/>
      <c r="X31" s="399">
        <v>0</v>
      </c>
      <c r="Y31" s="396">
        <f t="shared" si="4"/>
        <v>0</v>
      </c>
      <c r="AA31" s="400">
        <f>((SUMIF('3-Basis ruimtestaat'!C:C,A31,uren_mavr))+(SUMIF('3-Basis ruimtestaat'!C:C,A31,uren_naloop)))</f>
        <v>343.49525</v>
      </c>
      <c r="AB31" s="397">
        <v>255</v>
      </c>
      <c r="AC31" s="401">
        <f t="shared" si="5"/>
        <v>1.3470401960784313</v>
      </c>
      <c r="AD31" s="676">
        <f>IF(AC31&lt;$AC$15,$AC$15-AC31)*'1-Contractblad dag'!$I$23*AB31</f>
        <v>0</v>
      </c>
      <c r="AE31" s="679">
        <f t="shared" si="10"/>
        <v>0</v>
      </c>
      <c r="AF31" s="392" t="s">
        <v>193</v>
      </c>
      <c r="AG31" s="392">
        <v>255</v>
      </c>
    </row>
    <row r="32" spans="1:33" s="392" customFormat="1" ht="20" customHeight="1">
      <c r="A32" s="393" t="s">
        <v>192</v>
      </c>
      <c r="B32" s="388">
        <v>220</v>
      </c>
      <c r="C32" s="394">
        <v>3</v>
      </c>
      <c r="D32" s="402">
        <f t="shared" si="6"/>
        <v>0</v>
      </c>
      <c r="E32" s="396">
        <f t="shared" si="0"/>
        <v>0</v>
      </c>
      <c r="G32" s="388">
        <v>220</v>
      </c>
      <c r="H32" s="394">
        <v>2</v>
      </c>
      <c r="I32" s="402">
        <f t="shared" si="7"/>
        <v>0</v>
      </c>
      <c r="J32" s="396">
        <f t="shared" si="1"/>
        <v>0</v>
      </c>
      <c r="L32" s="388">
        <v>60</v>
      </c>
      <c r="M32" s="394">
        <v>2</v>
      </c>
      <c r="N32" s="402">
        <f t="shared" si="11"/>
        <v>0</v>
      </c>
      <c r="O32" s="396">
        <f t="shared" si="2"/>
        <v>0</v>
      </c>
      <c r="Q32" s="520"/>
      <c r="R32" s="397"/>
      <c r="S32" s="522">
        <f t="shared" si="9"/>
        <v>0</v>
      </c>
      <c r="T32" s="396">
        <f t="shared" si="3"/>
        <v>0</v>
      </c>
      <c r="V32" s="520"/>
      <c r="W32" s="398"/>
      <c r="X32" s="399">
        <v>0</v>
      </c>
      <c r="Y32" s="396">
        <f t="shared" si="4"/>
        <v>0</v>
      </c>
      <c r="AA32" s="400">
        <f>((SUMIF('3-Basis ruimtestaat'!C:C,A32,uren_mavr))+(SUMIF('3-Basis ruimtestaat'!C:C,A32,uren_naloop)))</f>
        <v>30.473337725490197</v>
      </c>
      <c r="AB32" s="397">
        <v>52</v>
      </c>
      <c r="AC32" s="401">
        <f t="shared" si="5"/>
        <v>0.58602572549019605</v>
      </c>
      <c r="AD32" s="676">
        <f>IF(AC32&lt;$AC$15,$AC$15-AC32)*'1-Contractblad dag'!$I$23*AB32</f>
        <v>0</v>
      </c>
      <c r="AE32" s="679">
        <f t="shared" si="10"/>
        <v>0</v>
      </c>
      <c r="AF32" s="392" t="s">
        <v>194</v>
      </c>
      <c r="AG32" s="392">
        <v>255</v>
      </c>
    </row>
    <row r="33" spans="1:33" s="392" customFormat="1" ht="20" customHeight="1">
      <c r="A33" s="404" t="s">
        <v>696</v>
      </c>
      <c r="B33" s="388">
        <v>191</v>
      </c>
      <c r="C33" s="394">
        <v>3</v>
      </c>
      <c r="D33" s="402">
        <f t="shared" si="6"/>
        <v>0</v>
      </c>
      <c r="E33" s="396">
        <f t="shared" si="0"/>
        <v>0</v>
      </c>
      <c r="G33" s="388">
        <v>208</v>
      </c>
      <c r="H33" s="394">
        <v>2</v>
      </c>
      <c r="I33" s="402">
        <f t="shared" si="7"/>
        <v>0</v>
      </c>
      <c r="J33" s="396">
        <f t="shared" si="1"/>
        <v>0</v>
      </c>
      <c r="L33" s="388">
        <v>425</v>
      </c>
      <c r="M33" s="394">
        <v>2</v>
      </c>
      <c r="N33" s="402">
        <f t="shared" si="11"/>
        <v>0</v>
      </c>
      <c r="O33" s="396">
        <f t="shared" si="2"/>
        <v>0</v>
      </c>
      <c r="Q33" s="520"/>
      <c r="R33" s="397"/>
      <c r="S33" s="522">
        <f t="shared" si="9"/>
        <v>0</v>
      </c>
      <c r="T33" s="396">
        <f t="shared" si="3"/>
        <v>0</v>
      </c>
      <c r="V33" s="520"/>
      <c r="W33" s="398"/>
      <c r="X33" s="399">
        <v>0</v>
      </c>
      <c r="Y33" s="396">
        <f t="shared" si="4"/>
        <v>0</v>
      </c>
      <c r="AA33" s="400">
        <f>((SUMIF('3-Basis ruimtestaat'!C:C,A33,uren_mavr))+(SUMIF('3-Basis ruimtestaat'!C:C,A33,uren_naloop)))</f>
        <v>0</v>
      </c>
      <c r="AB33" s="397">
        <v>0</v>
      </c>
      <c r="AC33" s="401" t="str">
        <f t="shared" si="5"/>
        <v/>
      </c>
      <c r="AD33" s="676">
        <f>IF(AC33&lt;$AC$15,$AC$15-AC33)*'1-Contractblad dag'!$I$23*AB33</f>
        <v>0</v>
      </c>
      <c r="AE33" s="679">
        <f t="shared" si="10"/>
        <v>0</v>
      </c>
      <c r="AF33" s="392" t="s">
        <v>195</v>
      </c>
      <c r="AG33" s="392">
        <v>0</v>
      </c>
    </row>
    <row r="34" spans="1:33" s="392" customFormat="1" ht="20" customHeight="1">
      <c r="A34" s="393" t="s">
        <v>193</v>
      </c>
      <c r="B34" s="388">
        <v>171</v>
      </c>
      <c r="C34" s="394">
        <v>3</v>
      </c>
      <c r="D34" s="402">
        <f t="shared" si="6"/>
        <v>0</v>
      </c>
      <c r="E34" s="396">
        <f t="shared" si="0"/>
        <v>0</v>
      </c>
      <c r="G34" s="388">
        <v>145</v>
      </c>
      <c r="H34" s="394">
        <v>2</v>
      </c>
      <c r="I34" s="402">
        <f t="shared" si="7"/>
        <v>0</v>
      </c>
      <c r="J34" s="396">
        <f t="shared" si="1"/>
        <v>0</v>
      </c>
      <c r="L34" s="388">
        <v>105</v>
      </c>
      <c r="M34" s="394">
        <v>2</v>
      </c>
      <c r="N34" s="402">
        <f t="shared" si="11"/>
        <v>0</v>
      </c>
      <c r="O34" s="396">
        <f t="shared" si="2"/>
        <v>0</v>
      </c>
      <c r="Q34" s="520"/>
      <c r="R34" s="397"/>
      <c r="S34" s="522">
        <f t="shared" si="9"/>
        <v>0</v>
      </c>
      <c r="T34" s="396">
        <f t="shared" si="3"/>
        <v>0</v>
      </c>
      <c r="V34" s="520"/>
      <c r="W34" s="398"/>
      <c r="X34" s="399">
        <v>0</v>
      </c>
      <c r="Y34" s="396">
        <f t="shared" si="4"/>
        <v>0</v>
      </c>
      <c r="AA34" s="400">
        <f>((SUMIF('3-Basis ruimtestaat'!C:C,A34,uren_mavr))+(SUMIF('3-Basis ruimtestaat'!C:C,A34,uren_naloop)))</f>
        <v>139.09373647058823</v>
      </c>
      <c r="AB34" s="397">
        <v>255</v>
      </c>
      <c r="AC34" s="401">
        <f t="shared" si="5"/>
        <v>0.54546563321799302</v>
      </c>
      <c r="AD34" s="676">
        <f>IF(AC34&lt;$AC$15,$AC$15-AC34)*'1-Contractblad dag'!$I$23*AB34</f>
        <v>0</v>
      </c>
      <c r="AE34" s="679">
        <f t="shared" si="10"/>
        <v>0</v>
      </c>
      <c r="AF34" s="392" t="s">
        <v>196</v>
      </c>
      <c r="AG34" s="392">
        <v>255</v>
      </c>
    </row>
    <row r="35" spans="1:33" s="392" customFormat="1" ht="20" customHeight="1">
      <c r="A35" s="393" t="s">
        <v>194</v>
      </c>
      <c r="B35" s="388">
        <v>130</v>
      </c>
      <c r="C35" s="394">
        <v>3</v>
      </c>
      <c r="D35" s="402">
        <f t="shared" si="6"/>
        <v>0</v>
      </c>
      <c r="E35" s="396">
        <f t="shared" si="0"/>
        <v>0</v>
      </c>
      <c r="G35" s="388">
        <v>130</v>
      </c>
      <c r="H35" s="394">
        <v>2</v>
      </c>
      <c r="I35" s="402">
        <f t="shared" si="7"/>
        <v>0</v>
      </c>
      <c r="J35" s="396">
        <f t="shared" si="1"/>
        <v>0</v>
      </c>
      <c r="L35" s="388">
        <v>270</v>
      </c>
      <c r="M35" s="394">
        <v>2</v>
      </c>
      <c r="N35" s="402">
        <f t="shared" si="11"/>
        <v>0</v>
      </c>
      <c r="O35" s="396">
        <f t="shared" si="2"/>
        <v>0</v>
      </c>
      <c r="Q35" s="520"/>
      <c r="R35" s="397"/>
      <c r="S35" s="522">
        <f t="shared" si="9"/>
        <v>0</v>
      </c>
      <c r="T35" s="396">
        <f t="shared" si="3"/>
        <v>0</v>
      </c>
      <c r="V35" s="520"/>
      <c r="W35" s="398"/>
      <c r="X35" s="399">
        <v>0</v>
      </c>
      <c r="Y35" s="396">
        <f t="shared" si="4"/>
        <v>0</v>
      </c>
      <c r="AA35" s="400">
        <f>((SUMIF('3-Basis ruimtestaat'!C:C,A35,uren_mavr))+(SUMIF('3-Basis ruimtestaat'!C:C,A35,uren_naloop)))</f>
        <v>114.84837176470589</v>
      </c>
      <c r="AB35" s="397">
        <v>255</v>
      </c>
      <c r="AC35" s="401">
        <f t="shared" si="5"/>
        <v>0.45038577162629762</v>
      </c>
      <c r="AD35" s="676">
        <f>IF(AC35&lt;$AC$15,$AC$15-AC35)*'1-Contractblad dag'!$I$23*AB35</f>
        <v>0</v>
      </c>
      <c r="AE35" s="679">
        <f t="shared" si="10"/>
        <v>0</v>
      </c>
      <c r="AF35" s="392" t="s">
        <v>697</v>
      </c>
      <c r="AG35" s="392">
        <v>0</v>
      </c>
    </row>
    <row r="36" spans="1:33" s="392" customFormat="1" ht="20" customHeight="1">
      <c r="A36" s="393" t="s">
        <v>698</v>
      </c>
      <c r="B36" s="388">
        <v>229.8</v>
      </c>
      <c r="C36" s="394">
        <v>3</v>
      </c>
      <c r="D36" s="402">
        <f t="shared" si="6"/>
        <v>0</v>
      </c>
      <c r="E36" s="396">
        <f t="shared" si="0"/>
        <v>0</v>
      </c>
      <c r="G36" s="388">
        <v>229.8</v>
      </c>
      <c r="H36" s="394">
        <v>2</v>
      </c>
      <c r="I36" s="402">
        <f t="shared" si="7"/>
        <v>0</v>
      </c>
      <c r="J36" s="396">
        <f t="shared" si="1"/>
        <v>0</v>
      </c>
      <c r="L36" s="388">
        <v>28.9</v>
      </c>
      <c r="M36" s="394">
        <v>2</v>
      </c>
      <c r="N36" s="402">
        <f>N34</f>
        <v>0</v>
      </c>
      <c r="O36" s="396">
        <f t="shared" si="2"/>
        <v>0</v>
      </c>
      <c r="Q36" s="520"/>
      <c r="R36" s="397"/>
      <c r="S36" s="522">
        <f t="shared" si="9"/>
        <v>0</v>
      </c>
      <c r="T36" s="396">
        <f t="shared" si="3"/>
        <v>0</v>
      </c>
      <c r="V36" s="520"/>
      <c r="W36" s="398"/>
      <c r="X36" s="399">
        <v>0</v>
      </c>
      <c r="Y36" s="396">
        <f t="shared" si="4"/>
        <v>0</v>
      </c>
      <c r="AA36" s="400">
        <f>((SUMIF('3-Basis ruimtestaat'!C:C,A36,uren_mavr))+(SUMIF('3-Basis ruimtestaat'!C:C,A36,uren_naloop)))</f>
        <v>0</v>
      </c>
      <c r="AB36" s="397">
        <v>0</v>
      </c>
      <c r="AC36" s="401" t="str">
        <f t="shared" si="5"/>
        <v/>
      </c>
      <c r="AD36" s="676">
        <f>IF(AC36&lt;$AC$15,$AC$15-AC36)*'1-Contractblad dag'!$I$23*AB36</f>
        <v>0</v>
      </c>
      <c r="AE36" s="679">
        <f t="shared" si="10"/>
        <v>0</v>
      </c>
      <c r="AF36" s="392" t="s">
        <v>197</v>
      </c>
      <c r="AG36" s="392">
        <v>255</v>
      </c>
    </row>
    <row r="37" spans="1:33" s="392" customFormat="1" ht="20" customHeight="1">
      <c r="A37" s="393" t="s">
        <v>699</v>
      </c>
      <c r="B37" s="388">
        <v>42.89</v>
      </c>
      <c r="C37" s="394">
        <v>3</v>
      </c>
      <c r="D37" s="402">
        <f t="shared" si="6"/>
        <v>0</v>
      </c>
      <c r="E37" s="396">
        <f t="shared" si="0"/>
        <v>0</v>
      </c>
      <c r="G37" s="388">
        <v>42.89</v>
      </c>
      <c r="H37" s="394">
        <v>2</v>
      </c>
      <c r="I37" s="402">
        <f t="shared" si="7"/>
        <v>0</v>
      </c>
      <c r="J37" s="396">
        <f t="shared" si="1"/>
        <v>0</v>
      </c>
      <c r="L37" s="388">
        <v>107.02</v>
      </c>
      <c r="M37" s="394">
        <v>2</v>
      </c>
      <c r="N37" s="402">
        <f>N35</f>
        <v>0</v>
      </c>
      <c r="O37" s="396">
        <f t="shared" si="2"/>
        <v>0</v>
      </c>
      <c r="Q37" s="520"/>
      <c r="R37" s="397"/>
      <c r="S37" s="522">
        <f t="shared" si="9"/>
        <v>0</v>
      </c>
      <c r="T37" s="396">
        <f t="shared" si="3"/>
        <v>0</v>
      </c>
      <c r="V37" s="520"/>
      <c r="W37" s="398"/>
      <c r="X37" s="399">
        <v>0</v>
      </c>
      <c r="Y37" s="396">
        <f t="shared" si="4"/>
        <v>0</v>
      </c>
      <c r="AA37" s="400">
        <f>((SUMIF('3-Basis ruimtestaat'!C:C,A37,uren_mavr))+(SUMIF('3-Basis ruimtestaat'!C:C,A37,uren_naloop)))</f>
        <v>0</v>
      </c>
      <c r="AB37" s="397">
        <v>0</v>
      </c>
      <c r="AC37" s="401" t="str">
        <f t="shared" si="5"/>
        <v/>
      </c>
      <c r="AD37" s="676">
        <f>IF(AC37&lt;$AC$15,$AC$15-AC37)*'1-Contractblad dag'!$I$23*AB37</f>
        <v>0</v>
      </c>
      <c r="AE37" s="679">
        <f t="shared" si="10"/>
        <v>0</v>
      </c>
    </row>
    <row r="38" spans="1:33" s="392" customFormat="1" ht="20" customHeight="1">
      <c r="A38" s="393" t="s">
        <v>700</v>
      </c>
      <c r="B38" s="388">
        <v>152</v>
      </c>
      <c r="C38" s="394">
        <v>3</v>
      </c>
      <c r="D38" s="402">
        <f t="shared" si="6"/>
        <v>0</v>
      </c>
      <c r="E38" s="396">
        <f t="shared" si="0"/>
        <v>0</v>
      </c>
      <c r="G38" s="388">
        <v>152</v>
      </c>
      <c r="H38" s="394">
        <v>2</v>
      </c>
      <c r="I38" s="402">
        <f t="shared" si="7"/>
        <v>0</v>
      </c>
      <c r="J38" s="396">
        <f t="shared" si="1"/>
        <v>0</v>
      </c>
      <c r="L38" s="388">
        <v>62</v>
      </c>
      <c r="M38" s="394">
        <v>2</v>
      </c>
      <c r="N38" s="402">
        <f>N36</f>
        <v>0</v>
      </c>
      <c r="O38" s="396">
        <f t="shared" si="2"/>
        <v>0</v>
      </c>
      <c r="Q38" s="520"/>
      <c r="R38" s="397"/>
      <c r="S38" s="522">
        <f t="shared" si="9"/>
        <v>0</v>
      </c>
      <c r="T38" s="396">
        <f t="shared" si="3"/>
        <v>0</v>
      </c>
      <c r="V38" s="520"/>
      <c r="W38" s="398"/>
      <c r="X38" s="399">
        <v>0</v>
      </c>
      <c r="Y38" s="396">
        <f t="shared" si="4"/>
        <v>0</v>
      </c>
      <c r="AA38" s="400">
        <f>((SUMIF('3-Basis ruimtestaat'!C:C,A38,uren_mavr))+(SUMIF('3-Basis ruimtestaat'!C:C,A38,uren_naloop)))</f>
        <v>0</v>
      </c>
      <c r="AB38" s="397">
        <v>0</v>
      </c>
      <c r="AC38" s="401" t="str">
        <f t="shared" si="5"/>
        <v/>
      </c>
      <c r="AD38" s="676">
        <f>IF(AC38&lt;$AC$15,$AC$15-AC38)*'1-Contractblad dag'!$I$23*AB38</f>
        <v>0</v>
      </c>
      <c r="AE38" s="679">
        <f t="shared" si="10"/>
        <v>0</v>
      </c>
    </row>
    <row r="39" spans="1:33" s="392" customFormat="1" ht="20" customHeight="1">
      <c r="A39" s="387" t="s">
        <v>701</v>
      </c>
      <c r="B39" s="388">
        <v>138.33000000000001</v>
      </c>
      <c r="C39" s="394">
        <v>3</v>
      </c>
      <c r="D39" s="402">
        <f t="shared" si="6"/>
        <v>0</v>
      </c>
      <c r="E39" s="396">
        <f t="shared" si="0"/>
        <v>0</v>
      </c>
      <c r="G39" s="388">
        <v>135.83000000000001</v>
      </c>
      <c r="H39" s="394">
        <v>2</v>
      </c>
      <c r="I39" s="402">
        <f t="shared" si="7"/>
        <v>0</v>
      </c>
      <c r="J39" s="396">
        <f t="shared" si="1"/>
        <v>0</v>
      </c>
      <c r="L39" s="388">
        <v>180.78</v>
      </c>
      <c r="M39" s="394">
        <v>2</v>
      </c>
      <c r="N39" s="402">
        <f>N37</f>
        <v>0</v>
      </c>
      <c r="O39" s="396">
        <f t="shared" si="2"/>
        <v>0</v>
      </c>
      <c r="Q39" s="520"/>
      <c r="R39" s="397"/>
      <c r="S39" s="522">
        <f t="shared" si="9"/>
        <v>0</v>
      </c>
      <c r="T39" s="396">
        <f t="shared" si="3"/>
        <v>0</v>
      </c>
      <c r="V39" s="520"/>
      <c r="W39" s="398"/>
      <c r="X39" s="399">
        <v>0</v>
      </c>
      <c r="Y39" s="396">
        <f t="shared" si="4"/>
        <v>0</v>
      </c>
      <c r="AA39" s="400">
        <f>((SUMIF('3-Basis ruimtestaat'!C:C,A39,uren_mavr))+(SUMIF('3-Basis ruimtestaat'!C:C,A39,uren_naloop)))</f>
        <v>0</v>
      </c>
      <c r="AB39" s="397">
        <v>0</v>
      </c>
      <c r="AC39" s="401" t="str">
        <f t="shared" si="5"/>
        <v/>
      </c>
      <c r="AD39" s="676">
        <f>IF(AC39&lt;$AC$15,$AC$15-AC39)*'1-Contractblad dag'!$I$23*AB39</f>
        <v>0</v>
      </c>
      <c r="AE39" s="679">
        <f t="shared" si="10"/>
        <v>0</v>
      </c>
    </row>
    <row r="40" spans="1:33" s="392" customFormat="1" ht="20" customHeight="1">
      <c r="A40" s="405" t="s">
        <v>702</v>
      </c>
      <c r="B40" s="388">
        <v>56.92</v>
      </c>
      <c r="C40" s="394">
        <v>3</v>
      </c>
      <c r="D40" s="402">
        <f t="shared" si="6"/>
        <v>0</v>
      </c>
      <c r="E40" s="396">
        <f t="shared" si="0"/>
        <v>0</v>
      </c>
      <c r="G40" s="388">
        <v>56.92</v>
      </c>
      <c r="H40" s="394">
        <v>2</v>
      </c>
      <c r="I40" s="402">
        <f t="shared" si="7"/>
        <v>0</v>
      </c>
      <c r="J40" s="396">
        <f t="shared" si="1"/>
        <v>0</v>
      </c>
      <c r="L40" s="388">
        <v>31.28</v>
      </c>
      <c r="M40" s="394">
        <v>2</v>
      </c>
      <c r="N40" s="402">
        <f>N39</f>
        <v>0</v>
      </c>
      <c r="O40" s="396">
        <f t="shared" si="2"/>
        <v>0</v>
      </c>
      <c r="Q40" s="520"/>
      <c r="R40" s="397"/>
      <c r="S40" s="522">
        <f t="shared" si="9"/>
        <v>0</v>
      </c>
      <c r="T40" s="396">
        <f t="shared" si="3"/>
        <v>0</v>
      </c>
      <c r="V40" s="520"/>
      <c r="W40" s="398"/>
      <c r="X40" s="399">
        <v>0</v>
      </c>
      <c r="Y40" s="396">
        <f t="shared" si="4"/>
        <v>0</v>
      </c>
      <c r="AA40" s="400">
        <f>((SUMIF('3-Basis ruimtestaat'!C:C,A40,uren_mavr))+(SUMIF('3-Basis ruimtestaat'!C:C,A40,uren_naloop)))</f>
        <v>0</v>
      </c>
      <c r="AB40" s="397">
        <v>0</v>
      </c>
      <c r="AC40" s="401" t="str">
        <f t="shared" si="5"/>
        <v/>
      </c>
      <c r="AD40" s="676">
        <f>IF(AC40&lt;$AC$15,$AC$15-AC40)*'1-Contractblad dag'!$I$23*AB40</f>
        <v>0</v>
      </c>
      <c r="AE40" s="679">
        <f t="shared" si="10"/>
        <v>0</v>
      </c>
    </row>
    <row r="41" spans="1:33" s="392" customFormat="1" ht="20" customHeight="1">
      <c r="A41" s="393" t="s">
        <v>196</v>
      </c>
      <c r="B41" s="388">
        <v>220</v>
      </c>
      <c r="C41" s="394">
        <v>3</v>
      </c>
      <c r="D41" s="402">
        <f t="shared" si="6"/>
        <v>0</v>
      </c>
      <c r="E41" s="396">
        <f t="shared" si="0"/>
        <v>0</v>
      </c>
      <c r="G41" s="388">
        <v>220</v>
      </c>
      <c r="H41" s="394">
        <v>2</v>
      </c>
      <c r="I41" s="402">
        <f t="shared" si="7"/>
        <v>0</v>
      </c>
      <c r="J41" s="396">
        <f t="shared" si="1"/>
        <v>0</v>
      </c>
      <c r="L41" s="388">
        <v>0</v>
      </c>
      <c r="M41" s="394">
        <v>2</v>
      </c>
      <c r="N41" s="402">
        <f>N40</f>
        <v>0</v>
      </c>
      <c r="O41" s="396">
        <f t="shared" si="2"/>
        <v>0</v>
      </c>
      <c r="Q41" s="520"/>
      <c r="R41" s="397"/>
      <c r="S41" s="522">
        <f t="shared" si="9"/>
        <v>0</v>
      </c>
      <c r="T41" s="396">
        <f t="shared" si="3"/>
        <v>0</v>
      </c>
      <c r="V41" s="520"/>
      <c r="W41" s="398"/>
      <c r="X41" s="399">
        <v>0</v>
      </c>
      <c r="Y41" s="396">
        <f t="shared" si="4"/>
        <v>0</v>
      </c>
      <c r="AA41" s="400">
        <f>((SUMIF('3-Basis ruimtestaat'!C:C,A41,uren_mavr))+(SUMIF('3-Basis ruimtestaat'!C:C,A41,uren_naloop)))</f>
        <v>163.11174023529412</v>
      </c>
      <c r="AB41" s="397">
        <v>156</v>
      </c>
      <c r="AC41" s="401">
        <f t="shared" si="5"/>
        <v>1.0455880784313725</v>
      </c>
      <c r="AD41" s="676">
        <f>IF(AC41&lt;$AC$15,$AC$15-AC41)*'1-Contractblad dag'!$I$23*AB41</f>
        <v>0</v>
      </c>
      <c r="AE41" s="679">
        <f t="shared" si="10"/>
        <v>0</v>
      </c>
    </row>
    <row r="42" spans="1:33" s="392" customFormat="1" ht="20" customHeight="1">
      <c r="A42" s="406"/>
      <c r="B42" s="388"/>
      <c r="C42" s="394"/>
      <c r="D42" s="402">
        <f t="shared" ref="D42:D43" si="12">D41</f>
        <v>0</v>
      </c>
      <c r="E42" s="396">
        <f t="shared" ref="E42:E43" si="13">D42*C42*B42*(100%+$G$3)*(100%+$G$4)*(100%+$G$5)*(100%+$G$6)*(100%+$G$7)*(100%+$G$8)*(100%+$G$9)</f>
        <v>0</v>
      </c>
      <c r="G42" s="388"/>
      <c r="H42" s="394"/>
      <c r="I42" s="402">
        <f t="shared" ref="I42:I43" si="14">I41</f>
        <v>0</v>
      </c>
      <c r="J42" s="396">
        <f t="shared" ref="J42:J43" si="15">I42*H42*G42*(100%+$G$3)*(100%+$G$4)*(100%+$G$5)*(100%+$G$6)*(100%+$G$7)*(100%+$G$8)*(100%+$G$9)</f>
        <v>0</v>
      </c>
      <c r="L42" s="388"/>
      <c r="M42" s="394"/>
      <c r="N42" s="402">
        <f t="shared" ref="N42:N43" si="16">N41</f>
        <v>0</v>
      </c>
      <c r="O42" s="396">
        <f t="shared" ref="O42:O43" si="17">N42*M42*L42*(100%+$G$3)*(100%+$G$4)*(100%+$G$5)*(100%+$G$6)*(100%+$G$7)*(100%+$G$8)*(100%+$G$9)</f>
        <v>0</v>
      </c>
      <c r="Q42" s="520"/>
      <c r="R42" s="397"/>
      <c r="S42" s="522">
        <f t="shared" ref="S42:S43" si="18">S41</f>
        <v>0</v>
      </c>
      <c r="T42" s="396">
        <f t="shared" ref="T42:T43" si="19">S42*R42*Q42*(100%+$G$3)*(100%+$G$4)*(100%+$G$5)*(100%+$G$6)*(100%+$G$7)*(100%+$G$8)*(100%+$G$9)</f>
        <v>0</v>
      </c>
      <c r="V42" s="520"/>
      <c r="W42" s="398"/>
      <c r="X42" s="399">
        <v>0</v>
      </c>
      <c r="Y42" s="396">
        <f t="shared" ref="Y42:Y43" si="20">X42*W42*(100%+$G$3)*(100%+$G$4)*(100%+$G$5)*(100%+$G$6)*(100%+$G$7)*(100%+$G$8)*(100%+$G$9)</f>
        <v>0</v>
      </c>
      <c r="AA42" s="400">
        <f>((SUMIF('3-Basis ruimtestaat'!C:C,A42,uren_mavr))+(SUMIF('3-Basis ruimtestaat'!C:C,A42,uren_naloop)))</f>
        <v>0</v>
      </c>
      <c r="AB42" s="397">
        <v>255</v>
      </c>
      <c r="AC42" s="401" t="str">
        <f t="shared" ref="AC42:AC43" si="21">IF(AA42=0,"",AA42/AB42)</f>
        <v/>
      </c>
      <c r="AD42" s="676">
        <f>IF(AC42&lt;$AC$15,$AC$15-AC42)*'1-Contractblad dag'!$I$23*AB42</f>
        <v>0</v>
      </c>
      <c r="AE42" s="679">
        <f t="shared" si="10"/>
        <v>0</v>
      </c>
    </row>
    <row r="43" spans="1:33" s="392" customFormat="1" ht="17" customHeight="1">
      <c r="A43" s="407"/>
      <c r="B43" s="388"/>
      <c r="C43" s="394"/>
      <c r="D43" s="402">
        <f t="shared" si="12"/>
        <v>0</v>
      </c>
      <c r="E43" s="396">
        <f t="shared" si="13"/>
        <v>0</v>
      </c>
      <c r="G43" s="388"/>
      <c r="H43" s="394"/>
      <c r="I43" s="402">
        <f t="shared" si="14"/>
        <v>0</v>
      </c>
      <c r="J43" s="396">
        <f t="shared" si="15"/>
        <v>0</v>
      </c>
      <c r="L43" s="388"/>
      <c r="M43" s="394"/>
      <c r="N43" s="402">
        <f t="shared" si="16"/>
        <v>0</v>
      </c>
      <c r="O43" s="396">
        <f t="shared" si="17"/>
        <v>0</v>
      </c>
      <c r="Q43" s="520"/>
      <c r="R43" s="397"/>
      <c r="S43" s="522">
        <f t="shared" si="18"/>
        <v>0</v>
      </c>
      <c r="T43" s="396">
        <f t="shared" si="19"/>
        <v>0</v>
      </c>
      <c r="V43" s="520"/>
      <c r="W43" s="398"/>
      <c r="X43" s="399">
        <v>0</v>
      </c>
      <c r="Y43" s="396">
        <f t="shared" si="20"/>
        <v>0</v>
      </c>
      <c r="AA43" s="400">
        <f>((SUMIF('3-Basis ruimtestaat'!C:C,A43,uren_mavr))+(SUMIF('3-Basis ruimtestaat'!C:C,A43,uren_naloop)))</f>
        <v>0</v>
      </c>
      <c r="AB43" s="397">
        <v>255</v>
      </c>
      <c r="AC43" s="401" t="str">
        <f t="shared" si="21"/>
        <v/>
      </c>
      <c r="AD43" s="676">
        <f>IF(AC43&lt;$AC$15,$AC$15-AC43)*'1-Contractblad dag'!$I$23*AB43</f>
        <v>0</v>
      </c>
      <c r="AE43" s="679">
        <f t="shared" si="10"/>
        <v>0</v>
      </c>
    </row>
    <row r="44" spans="1:33" ht="12.75" customHeight="1">
      <c r="B44" s="119"/>
    </row>
    <row r="45" spans="1:33" ht="22" customHeight="1">
      <c r="B45" s="119">
        <f>SUM(B16:B44)</f>
        <v>4963.26</v>
      </c>
      <c r="D45" s="171"/>
      <c r="E45" s="171">
        <f>SUM(E16:E44)</f>
        <v>0</v>
      </c>
      <c r="G45" s="119">
        <f>SUM(G16:G44)</f>
        <v>4525.3500000000004</v>
      </c>
      <c r="I45" s="171">
        <f>SUM(I16:I44)</f>
        <v>0</v>
      </c>
      <c r="J45" s="171">
        <f>SUM(J16:J44)</f>
        <v>0</v>
      </c>
      <c r="L45" s="119">
        <f>SUM(L16:L44)</f>
        <v>2679.9400000000005</v>
      </c>
      <c r="N45" s="171">
        <f>SUM(N16:N44)</f>
        <v>0</v>
      </c>
      <c r="O45" s="171">
        <f>SUM(O16:O44)</f>
        <v>0</v>
      </c>
      <c r="Q45" s="119">
        <f>SUM(Q16:Q44)</f>
        <v>0</v>
      </c>
      <c r="T45" s="171">
        <f>SUM(T16:T44)</f>
        <v>0</v>
      </c>
      <c r="V45" s="119">
        <f>SUM(V16:V44)</f>
        <v>0</v>
      </c>
      <c r="Y45" s="171">
        <f>SUM(Y16:Y44)</f>
        <v>0</v>
      </c>
      <c r="AA45" s="172">
        <f>SUM(AA16:AA43)</f>
        <v>6469.5331707254909</v>
      </c>
      <c r="AC45" s="173">
        <f>SUM(AC16:AC43)</f>
        <v>26.567751129642449</v>
      </c>
      <c r="AD45" s="174">
        <f>SUM(AD16:AD43)</f>
        <v>0</v>
      </c>
    </row>
    <row r="46" spans="1:33" ht="12.75" customHeight="1">
      <c r="B46" s="119"/>
    </row>
    <row r="47" spans="1:33" ht="12.75" customHeight="1"/>
    <row r="48" spans="1:3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</sheetData>
  <sortState xmlns:xlrd2="http://schemas.microsoft.com/office/spreadsheetml/2017/richdata2" ref="A16:AD41">
    <sortCondition ref="A16:A41"/>
  </sortState>
  <mergeCells count="1">
    <mergeCell ref="AA12:AD12"/>
  </mergeCells>
  <pageMargins left="0.59055118110236227" right="0.59055118110236227" top="0.59055118110236227" bottom="0.78740157480314965" header="0" footer="0"/>
  <pageSetup paperSize="9" scale="47" orientation="portrait"/>
  <headerFoot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H53"/>
  <sheetViews>
    <sheetView showGridLines="0" workbookViewId="0">
      <selection activeCell="C23" sqref="C23"/>
    </sheetView>
  </sheetViews>
  <sheetFormatPr baseColWidth="10" defaultColWidth="14.1640625" defaultRowHeight="25" customHeight="1"/>
  <cols>
    <col min="1" max="1" width="85.5" bestFit="1" customWidth="1"/>
    <col min="2" max="2" width="24.1640625" style="217" customWidth="1"/>
    <col min="3" max="3" width="22.83203125" bestFit="1" customWidth="1"/>
    <col min="4" max="6" width="17.1640625" customWidth="1"/>
    <col min="7" max="7" width="20" customWidth="1"/>
    <col min="8" max="26" width="11.1640625" customWidth="1"/>
  </cols>
  <sheetData>
    <row r="3" spans="1:8" ht="25" customHeight="1">
      <c r="A3" s="12" t="str">
        <f>'1-Contractblad dag'!A3</f>
        <v>Naam opdrachtgever</v>
      </c>
      <c r="B3" s="15" t="str">
        <f>'1-Contractblad dag'!B3</f>
        <v>Gemeente Fryske Marren</v>
      </c>
      <c r="C3" s="163"/>
      <c r="D3" s="163"/>
    </row>
    <row r="4" spans="1:8" ht="25" customHeight="1">
      <c r="A4" s="12" t="str">
        <f>'1-Contractblad dag'!A4</f>
        <v>Calculatie onderdeel</v>
      </c>
      <c r="B4" s="15" t="s">
        <v>703</v>
      </c>
      <c r="C4" s="152"/>
      <c r="D4" s="166"/>
      <c r="G4" s="162" t="s">
        <v>674</v>
      </c>
    </row>
    <row r="5" spans="1:8" ht="25" customHeight="1">
      <c r="A5" s="12" t="str">
        <f>'1-Contractblad dag'!A5</f>
        <v>Gebouw/plaats</v>
      </c>
      <c r="B5" s="15" t="str">
        <f>'1-Contractblad dag'!B5</f>
        <v>Totaal</v>
      </c>
      <c r="C5" s="152"/>
      <c r="D5" s="166"/>
      <c r="G5" s="164">
        <f>'1-Contractblad dag'!G8</f>
        <v>0</v>
      </c>
      <c r="H5" s="165" t="s">
        <v>675</v>
      </c>
    </row>
    <row r="6" spans="1:8" ht="25" customHeight="1">
      <c r="A6" s="12" t="str">
        <f>'1-Contractblad dag'!A6</f>
        <v>Besteknummer</v>
      </c>
      <c r="B6" s="15" t="str">
        <f>'1-Contractblad dag'!B6</f>
        <v>Calculatie-GFM -2026.01 (prijspeil 1-1-2027)</v>
      </c>
      <c r="C6" s="152"/>
      <c r="D6" s="166"/>
      <c r="G6" s="164">
        <f>'1-Contractblad dag'!G9</f>
        <v>0</v>
      </c>
      <c r="H6" s="165" t="s">
        <v>675</v>
      </c>
    </row>
    <row r="7" spans="1:8" ht="25" customHeight="1">
      <c r="A7" s="12" t="str">
        <f>'1-Contractblad dag'!A7</f>
        <v>Naam leverancier</v>
      </c>
      <c r="B7" s="15" t="str">
        <f>'1-Contractblad dag'!B7</f>
        <v>Vaste calculatie</v>
      </c>
      <c r="C7" s="152"/>
      <c r="D7" s="166"/>
      <c r="G7" s="164">
        <f>'1-Contractblad dag'!G10</f>
        <v>0</v>
      </c>
      <c r="H7" s="165" t="s">
        <v>675</v>
      </c>
    </row>
    <row r="8" spans="1:8" ht="25" customHeight="1">
      <c r="A8" s="12" t="str">
        <f>'1-Contractblad dag'!A8</f>
        <v>Prijspeil</v>
      </c>
      <c r="B8" s="175">
        <f>'1-Contractblad dag'!B8</f>
        <v>46388</v>
      </c>
      <c r="C8" s="152"/>
      <c r="D8" s="166"/>
      <c r="G8" s="164">
        <f>'1-Contractblad dag'!G11</f>
        <v>0</v>
      </c>
      <c r="H8" s="165" t="s">
        <v>675</v>
      </c>
    </row>
    <row r="9" spans="1:8" ht="25" customHeight="1">
      <c r="A9" s="12" t="str">
        <f>'1-Contractblad dag'!A9</f>
        <v>Bijzonderheden</v>
      </c>
      <c r="B9" s="215" t="s">
        <v>677</v>
      </c>
      <c r="C9" s="152"/>
      <c r="D9" s="166"/>
      <c r="G9" s="164">
        <f>'1-Contractblad dag'!G12</f>
        <v>0</v>
      </c>
      <c r="H9" s="165" t="s">
        <v>675</v>
      </c>
    </row>
    <row r="10" spans="1:8" ht="25" customHeight="1">
      <c r="A10" s="12"/>
      <c r="B10" s="215"/>
      <c r="C10" s="152"/>
      <c r="D10" s="166"/>
      <c r="G10" s="164">
        <f>'1-Contractblad dag'!G13</f>
        <v>0</v>
      </c>
      <c r="H10" s="165" t="s">
        <v>675</v>
      </c>
    </row>
    <row r="11" spans="1:8" ht="25" customHeight="1">
      <c r="A11" s="25"/>
      <c r="B11" s="216"/>
      <c r="C11" s="169"/>
      <c r="D11" s="169"/>
      <c r="G11" s="164">
        <f>'1-Contractblad dag'!G14</f>
        <v>0</v>
      </c>
      <c r="H11" s="165" t="s">
        <v>675</v>
      </c>
    </row>
    <row r="12" spans="1:8" ht="30" customHeight="1">
      <c r="A12" s="170" t="s">
        <v>704</v>
      </c>
      <c r="B12" s="523"/>
      <c r="C12" s="517"/>
      <c r="D12" s="518"/>
      <c r="E12" s="518"/>
      <c r="F12" s="176"/>
    </row>
    <row r="14" spans="1:8" ht="25" customHeight="1">
      <c r="A14" s="524"/>
      <c r="B14" s="525"/>
      <c r="C14" s="709" t="s">
        <v>705</v>
      </c>
      <c r="D14" s="710"/>
      <c r="E14" s="710"/>
      <c r="F14" s="711"/>
    </row>
    <row r="15" spans="1:8" ht="25" customHeight="1">
      <c r="A15" s="177" t="s">
        <v>706</v>
      </c>
      <c r="B15" s="177" t="s">
        <v>707</v>
      </c>
      <c r="C15" s="178" t="s">
        <v>708</v>
      </c>
      <c r="D15" s="178" t="s">
        <v>709</v>
      </c>
      <c r="E15" s="178" t="s">
        <v>63</v>
      </c>
      <c r="F15" s="178" t="s">
        <v>5</v>
      </c>
    </row>
    <row r="16" spans="1:8" ht="25" customHeight="1">
      <c r="A16" s="116"/>
      <c r="B16" s="51"/>
      <c r="C16" s="584"/>
      <c r="D16" s="218">
        <v>1</v>
      </c>
      <c r="E16" s="584"/>
      <c r="F16" s="584">
        <f t="shared" ref="F16:F48" si="0">E16*D16</f>
        <v>0</v>
      </c>
    </row>
    <row r="17" spans="1:8" ht="29">
      <c r="A17" s="590" t="s">
        <v>710</v>
      </c>
      <c r="B17" s="51" t="s">
        <v>711</v>
      </c>
      <c r="C17" s="586">
        <v>1</v>
      </c>
      <c r="D17" s="587">
        <v>6</v>
      </c>
      <c r="E17" s="588">
        <v>1500</v>
      </c>
      <c r="F17" s="588">
        <f>C17*D17*E17</f>
        <v>9000</v>
      </c>
      <c r="H17" s="585"/>
    </row>
    <row r="18" spans="1:8" ht="28" customHeight="1">
      <c r="A18" s="590" t="s">
        <v>712</v>
      </c>
      <c r="B18" s="51" t="s">
        <v>713</v>
      </c>
      <c r="C18" s="586">
        <v>1</v>
      </c>
      <c r="D18" s="587">
        <v>52</v>
      </c>
      <c r="E18" s="588">
        <f>'1-Contractblad dag'!I23</f>
        <v>42.715091700978107</v>
      </c>
      <c r="F18" s="588">
        <f>C18*D18*E18</f>
        <v>2221.1847684508616</v>
      </c>
      <c r="H18" s="585"/>
    </row>
    <row r="19" spans="1:8" ht="28" customHeight="1">
      <c r="A19" s="160" t="s">
        <v>714</v>
      </c>
      <c r="B19" s="51">
        <v>1</v>
      </c>
      <c r="C19" s="589">
        <v>0.25</v>
      </c>
      <c r="D19" s="587">
        <v>12</v>
      </c>
      <c r="E19" s="588">
        <f>'1-Contractblad dag'!I23</f>
        <v>42.715091700978107</v>
      </c>
      <c r="F19" s="588">
        <f t="shared" ref="F19:F20" si="1">C19*D19*E19</f>
        <v>128.14527510293431</v>
      </c>
    </row>
    <row r="20" spans="1:8" ht="28" customHeight="1">
      <c r="A20" s="160" t="s">
        <v>715</v>
      </c>
      <c r="B20" s="51">
        <v>1</v>
      </c>
      <c r="C20" s="589">
        <v>0.25</v>
      </c>
      <c r="D20" s="587">
        <v>12</v>
      </c>
      <c r="E20" s="588">
        <f>'1-Contractblad dag'!I23</f>
        <v>42.715091700978107</v>
      </c>
      <c r="F20" s="588">
        <f t="shared" si="1"/>
        <v>128.14527510293431</v>
      </c>
    </row>
    <row r="21" spans="1:8" ht="25" customHeight="1">
      <c r="A21" s="160" t="s">
        <v>716</v>
      </c>
      <c r="B21" s="51">
        <v>1</v>
      </c>
      <c r="C21" s="589">
        <v>0.25</v>
      </c>
      <c r="D21" s="587">
        <v>12</v>
      </c>
      <c r="E21" s="588">
        <f>'1-Contractblad dag'!I23</f>
        <v>42.715091700978107</v>
      </c>
      <c r="F21" s="588">
        <f t="shared" ref="F21" si="2">C21*D21*E21</f>
        <v>128.14527510293431</v>
      </c>
    </row>
    <row r="22" spans="1:8" ht="25" customHeight="1">
      <c r="A22" s="160" t="s">
        <v>717</v>
      </c>
      <c r="B22" s="51">
        <v>5</v>
      </c>
      <c r="C22" s="589">
        <v>1.25</v>
      </c>
      <c r="D22" s="587">
        <v>12</v>
      </c>
      <c r="E22" s="588">
        <f>'1-Contractblad dag'!I23</f>
        <v>42.715091700978107</v>
      </c>
      <c r="F22" s="588">
        <f t="shared" ref="F22" si="3">C22*D22*E22</f>
        <v>640.72637551467164</v>
      </c>
    </row>
    <row r="23" spans="1:8" ht="25" customHeight="1">
      <c r="A23" s="406"/>
      <c r="B23" s="51"/>
      <c r="C23" s="584"/>
      <c r="D23" s="218"/>
      <c r="E23" s="584"/>
      <c r="F23" s="584">
        <f t="shared" si="0"/>
        <v>0</v>
      </c>
    </row>
    <row r="24" spans="1:8" ht="25" customHeight="1">
      <c r="A24" s="116"/>
      <c r="B24" s="51"/>
      <c r="C24" s="584"/>
      <c r="D24" s="218"/>
      <c r="E24" s="584"/>
      <c r="F24" s="584">
        <f t="shared" si="0"/>
        <v>0</v>
      </c>
    </row>
    <row r="25" spans="1:8" ht="25" customHeight="1">
      <c r="A25" s="116"/>
      <c r="B25" s="51"/>
      <c r="C25" s="584"/>
      <c r="D25" s="218"/>
      <c r="E25" s="584"/>
      <c r="F25" s="584">
        <f t="shared" si="0"/>
        <v>0</v>
      </c>
    </row>
    <row r="26" spans="1:8" ht="25" customHeight="1">
      <c r="A26" s="116"/>
      <c r="B26" s="51"/>
      <c r="C26" s="584"/>
      <c r="D26" s="218"/>
      <c r="E26" s="584"/>
      <c r="F26" s="584">
        <f t="shared" si="0"/>
        <v>0</v>
      </c>
    </row>
    <row r="27" spans="1:8" ht="25" customHeight="1">
      <c r="A27" s="116"/>
      <c r="B27" s="51"/>
      <c r="C27" s="584"/>
      <c r="D27" s="218"/>
      <c r="E27" s="584"/>
      <c r="F27" s="584">
        <f t="shared" si="0"/>
        <v>0</v>
      </c>
    </row>
    <row r="28" spans="1:8" ht="25" customHeight="1">
      <c r="A28" s="116"/>
      <c r="B28" s="51"/>
      <c r="C28" s="584"/>
      <c r="D28" s="218"/>
      <c r="E28" s="584"/>
      <c r="F28" s="584">
        <f t="shared" si="0"/>
        <v>0</v>
      </c>
    </row>
    <row r="29" spans="1:8" ht="25" customHeight="1">
      <c r="A29" s="116"/>
      <c r="B29" s="51"/>
      <c r="C29" s="584"/>
      <c r="D29" s="218"/>
      <c r="E29" s="584"/>
      <c r="F29" s="584">
        <f t="shared" si="0"/>
        <v>0</v>
      </c>
    </row>
    <row r="30" spans="1:8" ht="25" customHeight="1">
      <c r="A30" s="116"/>
      <c r="B30" s="51"/>
      <c r="C30" s="584"/>
      <c r="D30" s="218"/>
      <c r="E30" s="584"/>
      <c r="F30" s="584">
        <f t="shared" si="0"/>
        <v>0</v>
      </c>
    </row>
    <row r="31" spans="1:8" ht="25" customHeight="1">
      <c r="A31" s="116"/>
      <c r="B31" s="51"/>
      <c r="C31" s="584"/>
      <c r="D31" s="218"/>
      <c r="E31" s="584"/>
      <c r="F31" s="584">
        <f t="shared" si="0"/>
        <v>0</v>
      </c>
    </row>
    <row r="32" spans="1:8" ht="25" customHeight="1">
      <c r="A32" s="116"/>
      <c r="B32" s="51"/>
      <c r="C32" s="584"/>
      <c r="D32" s="218"/>
      <c r="E32" s="584"/>
      <c r="F32" s="584">
        <f t="shared" si="0"/>
        <v>0</v>
      </c>
    </row>
    <row r="33" spans="1:6" ht="25" customHeight="1">
      <c r="A33" s="116"/>
      <c r="B33" s="51"/>
      <c r="C33" s="584"/>
      <c r="D33" s="218"/>
      <c r="E33" s="584"/>
      <c r="F33" s="584">
        <f t="shared" si="0"/>
        <v>0</v>
      </c>
    </row>
    <row r="34" spans="1:6" ht="25" customHeight="1">
      <c r="A34" s="160"/>
      <c r="B34" s="51"/>
      <c r="C34" s="584"/>
      <c r="D34" s="218"/>
      <c r="E34" s="584"/>
      <c r="F34" s="584">
        <f t="shared" si="0"/>
        <v>0</v>
      </c>
    </row>
    <row r="35" spans="1:6" ht="25" customHeight="1">
      <c r="A35" s="160"/>
      <c r="B35" s="51"/>
      <c r="C35" s="584"/>
      <c r="D35" s="218"/>
      <c r="E35" s="584"/>
      <c r="F35" s="584">
        <f t="shared" si="0"/>
        <v>0</v>
      </c>
    </row>
    <row r="36" spans="1:6" ht="25" customHeight="1">
      <c r="A36" s="116"/>
      <c r="B36" s="51"/>
      <c r="C36" s="584"/>
      <c r="D36" s="218"/>
      <c r="E36" s="584"/>
      <c r="F36" s="584">
        <f t="shared" si="0"/>
        <v>0</v>
      </c>
    </row>
    <row r="37" spans="1:6" ht="25" customHeight="1">
      <c r="A37" s="116"/>
      <c r="B37" s="51"/>
      <c r="C37" s="584"/>
      <c r="D37" s="218"/>
      <c r="E37" s="584"/>
      <c r="F37" s="584">
        <f t="shared" si="0"/>
        <v>0</v>
      </c>
    </row>
    <row r="38" spans="1:6" ht="25" customHeight="1">
      <c r="A38" s="116"/>
      <c r="B38" s="51"/>
      <c r="C38" s="584"/>
      <c r="D38" s="218"/>
      <c r="E38" s="584"/>
      <c r="F38" s="584">
        <f t="shared" si="0"/>
        <v>0</v>
      </c>
    </row>
    <row r="39" spans="1:6" ht="25" customHeight="1">
      <c r="A39" s="160"/>
      <c r="B39" s="51"/>
      <c r="C39" s="584"/>
      <c r="D39" s="218"/>
      <c r="E39" s="584"/>
      <c r="F39" s="584">
        <f t="shared" si="0"/>
        <v>0</v>
      </c>
    </row>
    <row r="40" spans="1:6" ht="25" customHeight="1">
      <c r="A40" s="160"/>
      <c r="B40" s="51"/>
      <c r="C40" s="584"/>
      <c r="D40" s="218"/>
      <c r="E40" s="584"/>
      <c r="F40" s="584">
        <f t="shared" si="0"/>
        <v>0</v>
      </c>
    </row>
    <row r="41" spans="1:6" ht="25" customHeight="1">
      <c r="A41" s="116"/>
      <c r="B41" s="51"/>
      <c r="C41" s="584"/>
      <c r="D41" s="218"/>
      <c r="E41" s="584"/>
      <c r="F41" s="584">
        <f t="shared" si="0"/>
        <v>0</v>
      </c>
    </row>
    <row r="42" spans="1:6" ht="25" customHeight="1">
      <c r="A42" s="116"/>
      <c r="B42" s="51"/>
      <c r="C42" s="584"/>
      <c r="D42" s="218"/>
      <c r="E42" s="584"/>
      <c r="F42" s="584">
        <f t="shared" si="0"/>
        <v>0</v>
      </c>
    </row>
    <row r="43" spans="1:6" ht="25" customHeight="1">
      <c r="A43" s="116"/>
      <c r="B43" s="51"/>
      <c r="C43" s="584"/>
      <c r="D43" s="218"/>
      <c r="E43" s="584"/>
      <c r="F43" s="584">
        <f t="shared" si="0"/>
        <v>0</v>
      </c>
    </row>
    <row r="44" spans="1:6" ht="25" customHeight="1">
      <c r="A44" s="116"/>
      <c r="B44" s="51"/>
      <c r="C44" s="584"/>
      <c r="D44" s="218"/>
      <c r="E44" s="584"/>
      <c r="F44" s="584">
        <f t="shared" si="0"/>
        <v>0</v>
      </c>
    </row>
    <row r="45" spans="1:6" ht="25" customHeight="1">
      <c r="A45" s="160"/>
      <c r="B45" s="51"/>
      <c r="C45" s="584"/>
      <c r="D45" s="218"/>
      <c r="E45" s="584"/>
      <c r="F45" s="584">
        <f t="shared" si="0"/>
        <v>0</v>
      </c>
    </row>
    <row r="46" spans="1:6" ht="25" customHeight="1">
      <c r="A46" s="160"/>
      <c r="B46" s="51"/>
      <c r="C46" s="584"/>
      <c r="D46" s="219"/>
      <c r="E46" s="584"/>
      <c r="F46" s="584">
        <f t="shared" si="0"/>
        <v>0</v>
      </c>
    </row>
    <row r="47" spans="1:6" ht="25" customHeight="1">
      <c r="A47" s="116"/>
      <c r="B47" s="51"/>
      <c r="C47" s="584"/>
      <c r="D47" s="219"/>
      <c r="E47" s="584"/>
      <c r="F47" s="584">
        <f t="shared" si="0"/>
        <v>0</v>
      </c>
    </row>
    <row r="48" spans="1:6" ht="25" customHeight="1">
      <c r="A48" s="116"/>
      <c r="B48" s="51"/>
      <c r="C48" s="584"/>
      <c r="D48" s="219"/>
      <c r="E48" s="584"/>
      <c r="F48" s="584">
        <f t="shared" si="0"/>
        <v>0</v>
      </c>
    </row>
    <row r="49" spans="1:6" ht="25" customHeight="1">
      <c r="B49" s="102"/>
    </row>
    <row r="50" spans="1:6" ht="25" customHeight="1">
      <c r="A50" s="165" t="s">
        <v>718</v>
      </c>
      <c r="B50" s="102"/>
      <c r="E50" s="171"/>
      <c r="F50" s="171">
        <f>SUM(F16:F49)*(100%+$G$5)*(100%+$G$6)*(100%+$G$7)*(100%+$G$8)*(100%+$G$9)*(100%+$G$10)*(100%+$G$11)</f>
        <v>12246.346969274335</v>
      </c>
    </row>
    <row r="51" spans="1:6" ht="25" customHeight="1">
      <c r="A51" s="165" t="s">
        <v>719</v>
      </c>
      <c r="B51" s="102"/>
    </row>
    <row r="52" spans="1:6" ht="25" customHeight="1">
      <c r="A52" s="165" t="s">
        <v>720</v>
      </c>
    </row>
    <row r="53" spans="1:6" ht="25" customHeight="1">
      <c r="A53" s="165" t="s">
        <v>721</v>
      </c>
    </row>
  </sheetData>
  <sheetProtection algorithmName="SHA-512" hashValue="kFLIb0c+yhK8WLcd+M9tjqjM1LOcFGxAeKqWbhQ07zo17SsMBQdk90weC/Eu3zUWZJ0PRLEK5sZ7Syepy9KLLQ==" saltValue="8Bxmg/NWElIcj6xtWcPdiA==" spinCount="100000" sheet="1" objects="1" scenarios="1"/>
  <mergeCells count="1">
    <mergeCell ref="C14:F14"/>
  </mergeCells>
  <pageMargins left="0.59055118110236227" right="0.59055118110236227" top="0.59055118110236227" bottom="0.78740157480314965" header="0" footer="0"/>
  <pageSetup paperSize="9" scale="47" orientation="portrait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4"/>
  <sheetViews>
    <sheetView showGridLines="0" workbookViewId="0">
      <selection activeCell="E6" sqref="E6"/>
    </sheetView>
  </sheetViews>
  <sheetFormatPr baseColWidth="10" defaultColWidth="14.1640625" defaultRowHeight="17" customHeight="1"/>
  <cols>
    <col min="1" max="1" width="45.1640625" customWidth="1"/>
    <col min="2" max="2" width="22.1640625" customWidth="1"/>
    <col min="3" max="3" width="18.1640625" customWidth="1"/>
    <col min="4" max="4" width="15.1640625" customWidth="1"/>
    <col min="5" max="5" width="49.6640625" customWidth="1"/>
    <col min="6" max="6" width="17.33203125" bestFit="1" customWidth="1"/>
    <col min="7" max="7" width="22.83203125" customWidth="1"/>
    <col min="8" max="8" width="2.1640625" customWidth="1"/>
    <col min="9" max="9" width="50.1640625" customWidth="1"/>
    <col min="10" max="10" width="11.1640625" customWidth="1"/>
    <col min="11" max="11" width="27.1640625" customWidth="1"/>
    <col min="12" max="12" width="22" customWidth="1"/>
    <col min="13" max="26" width="11.1640625" customWidth="1"/>
  </cols>
  <sheetData>
    <row r="1" spans="1:26" ht="17" customHeight="1">
      <c r="A1" s="11"/>
      <c r="B1" s="6"/>
      <c r="C1" s="7"/>
      <c r="D1" s="7"/>
      <c r="E1" s="7"/>
      <c r="F1" s="7"/>
      <c r="G1" s="7"/>
      <c r="H1" s="7"/>
      <c r="I1" s="10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7" customHeight="1">
      <c r="A2" s="13" t="s">
        <v>0</v>
      </c>
      <c r="B2" s="14" t="str">
        <f>'1-Contractblad dag'!B3</f>
        <v>Gemeente Fryske Marren</v>
      </c>
      <c r="C2" s="14"/>
      <c r="D2" s="14"/>
      <c r="E2" s="14"/>
      <c r="F2" s="15"/>
      <c r="G2" s="15"/>
      <c r="H2" s="16"/>
      <c r="I2" s="18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7" customHeight="1">
      <c r="A3" s="13" t="s">
        <v>2</v>
      </c>
      <c r="B3" s="14" t="s">
        <v>55</v>
      </c>
      <c r="C3" s="14"/>
      <c r="D3" s="14"/>
      <c r="E3" s="14"/>
      <c r="F3" s="15"/>
      <c r="G3" s="15"/>
      <c r="H3" s="16"/>
      <c r="I3" s="18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7" customHeight="1">
      <c r="A4" s="13" t="s">
        <v>4</v>
      </c>
      <c r="B4" s="14" t="str">
        <f>'1-Contractblad dag'!B5</f>
        <v>Totaal</v>
      </c>
      <c r="C4" s="14"/>
      <c r="D4" s="14"/>
      <c r="E4" s="14"/>
      <c r="F4" s="15"/>
      <c r="G4" s="15"/>
      <c r="H4" s="16"/>
      <c r="I4" s="18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7" customHeight="1">
      <c r="A5" s="13" t="s">
        <v>7</v>
      </c>
      <c r="B5" s="14" t="str">
        <f>'1-Contractblad dag'!B6</f>
        <v>Calculatie-GFM -2026.01 (prijspeil 1-1-2027)</v>
      </c>
      <c r="C5" s="14"/>
      <c r="D5" s="14"/>
      <c r="E5" s="19" t="s">
        <v>56</v>
      </c>
      <c r="F5" s="15"/>
      <c r="G5" s="15"/>
      <c r="H5" s="16"/>
      <c r="I5" s="18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7" customHeight="1">
      <c r="A6" s="13" t="s">
        <v>9</v>
      </c>
      <c r="B6" s="14" t="str">
        <f>'1-Contractblad dag'!B7</f>
        <v>Vaste calculatie</v>
      </c>
      <c r="C6" s="14"/>
      <c r="D6" s="14"/>
      <c r="E6" s="20" t="s">
        <v>57</v>
      </c>
      <c r="F6" s="15"/>
      <c r="G6" s="15"/>
      <c r="H6" s="16"/>
      <c r="I6" s="18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7" customHeight="1">
      <c r="A7" s="13" t="s">
        <v>13</v>
      </c>
      <c r="B7" s="23">
        <f>'1-Contractblad dag'!B8</f>
        <v>46388</v>
      </c>
      <c r="C7" s="14"/>
      <c r="D7" s="14"/>
      <c r="E7" s="14"/>
      <c r="F7" s="15"/>
      <c r="G7" s="15"/>
      <c r="H7" s="16"/>
      <c r="I7" s="18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7" customHeight="1">
      <c r="A8" s="13" t="s">
        <v>15</v>
      </c>
      <c r="B8" s="14" t="s">
        <v>16</v>
      </c>
      <c r="C8" s="14"/>
      <c r="D8" s="14"/>
      <c r="E8" s="14"/>
      <c r="F8" s="15"/>
      <c r="G8" s="15"/>
      <c r="H8" s="16"/>
      <c r="I8" s="18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7" customHeight="1">
      <c r="A9" s="13"/>
      <c r="B9" s="16"/>
      <c r="C9" s="16"/>
      <c r="D9" s="25"/>
      <c r="E9" s="16"/>
      <c r="F9" s="18"/>
      <c r="G9" s="18"/>
      <c r="H9" s="16"/>
      <c r="I9" s="18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7" customHeight="1">
      <c r="A10" s="11" t="s">
        <v>17</v>
      </c>
      <c r="B10" s="16"/>
      <c r="C10" s="27">
        <f>G22+G27+G33+G38+G44+G49</f>
        <v>121717.39665758425</v>
      </c>
      <c r="D10" s="25"/>
      <c r="E10" s="25"/>
      <c r="F10" s="28"/>
      <c r="G10" s="18"/>
      <c r="H10" s="16"/>
      <c r="I10" s="18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7" customHeight="1">
      <c r="A11" s="11" t="s">
        <v>18</v>
      </c>
      <c r="B11" s="16"/>
      <c r="C11" s="27">
        <f>G51</f>
        <v>4263.5732156262156</v>
      </c>
      <c r="D11" s="31"/>
      <c r="E11" s="31"/>
      <c r="F11" s="33"/>
      <c r="G11" s="18"/>
      <c r="H11" s="16"/>
      <c r="I11" s="18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7" customHeight="1">
      <c r="A12" s="11" t="s">
        <v>58</v>
      </c>
      <c r="B12" s="16"/>
      <c r="C12" s="37">
        <f>VLOOKUP(E$6,glas,30,TRUE)</f>
        <v>0</v>
      </c>
      <c r="D12" s="16"/>
      <c r="E12" s="16"/>
      <c r="F12" s="18"/>
      <c r="G12" s="18"/>
      <c r="H12" s="16"/>
      <c r="I12" s="18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7" customHeight="1">
      <c r="A13" s="11" t="s">
        <v>20</v>
      </c>
      <c r="B13" s="16"/>
      <c r="C13" s="39">
        <f>G71</f>
        <v>0</v>
      </c>
      <c r="D13" s="16"/>
      <c r="E13" s="36">
        <f>C14-C13</f>
        <v>125980.96987321046</v>
      </c>
      <c r="F13" s="614">
        <f>SUM(C10+C11)/12</f>
        <v>10498.414156100871</v>
      </c>
      <c r="G13" s="18"/>
      <c r="H13" s="16"/>
      <c r="I13" s="18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7" customHeight="1">
      <c r="A14" s="11"/>
      <c r="B14" s="28" t="s">
        <v>5</v>
      </c>
      <c r="C14" s="41">
        <f>SUM(C10:C13)</f>
        <v>125980.96987321046</v>
      </c>
      <c r="D14" s="16"/>
      <c r="E14" s="16"/>
      <c r="F14" s="18"/>
      <c r="G14" s="47"/>
      <c r="H14" s="16"/>
      <c r="I14" s="18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7" customHeight="1">
      <c r="A15" s="11"/>
      <c r="B15" s="28"/>
      <c r="C15" s="41"/>
      <c r="D15" s="16"/>
      <c r="E15" s="16"/>
      <c r="F15" s="18"/>
      <c r="G15" s="47"/>
      <c r="H15" s="16"/>
      <c r="I15" s="18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7" customHeight="1">
      <c r="A16" s="50" t="s">
        <v>21</v>
      </c>
      <c r="B16" s="503"/>
      <c r="C16" s="503"/>
      <c r="D16" s="503"/>
      <c r="E16" s="503"/>
      <c r="F16" s="504"/>
      <c r="G16" s="53"/>
      <c r="H16" s="16"/>
      <c r="I16" s="18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7" customHeight="1">
      <c r="A17" s="7"/>
      <c r="B17" s="7"/>
      <c r="C17" s="7"/>
      <c r="D17" s="7"/>
      <c r="E17" s="7"/>
      <c r="F17" s="7"/>
      <c r="G17" s="7"/>
      <c r="H17" s="7"/>
      <c r="I17" s="60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7" customHeight="1">
      <c r="A18" s="315"/>
      <c r="B18" s="287"/>
      <c r="C18" s="316"/>
      <c r="D18" s="316"/>
      <c r="E18" s="316" t="s">
        <v>22</v>
      </c>
      <c r="F18" s="316" t="s">
        <v>23</v>
      </c>
      <c r="G18" s="317" t="s">
        <v>24</v>
      </c>
      <c r="H18" s="10"/>
      <c r="I18" s="1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7" customHeight="1">
      <c r="A19" s="292" t="s">
        <v>25</v>
      </c>
      <c r="B19" s="293"/>
      <c r="C19" s="293"/>
      <c r="D19" s="294"/>
      <c r="E19" s="294"/>
      <c r="F19" s="295"/>
      <c r="G19" s="296"/>
      <c r="H19" s="10"/>
      <c r="I19" s="1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7" customHeight="1">
      <c r="A20" s="297" t="s">
        <v>26</v>
      </c>
      <c r="B20" s="289"/>
      <c r="C20" s="280"/>
      <c r="D20" s="289"/>
      <c r="E20" s="289"/>
      <c r="F20" s="289"/>
      <c r="G20" s="298"/>
      <c r="H20" s="7"/>
      <c r="I20" s="10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7" customHeight="1">
      <c r="A21" s="299" t="s">
        <v>27</v>
      </c>
      <c r="B21" s="202"/>
      <c r="C21" s="280"/>
      <c r="D21" s="281"/>
      <c r="E21" s="323">
        <f>((SUMIF('3-Basis ruimtestaat'!C:C,E$6,uren_mavr))+(SUMIF('3-Basis ruimtestaat'!C:C,E$6,uren_naloop)))</f>
        <v>2849.5173909411769</v>
      </c>
      <c r="F21" s="283">
        <f>'1-Contractblad dag'!F22</f>
        <v>38.997005363366632</v>
      </c>
      <c r="G21" s="324">
        <f>F21*E21</f>
        <v>111122.64497753957</v>
      </c>
      <c r="H21" s="67"/>
      <c r="I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7" customHeight="1">
      <c r="A22" s="300"/>
      <c r="B22" s="289"/>
      <c r="C22" s="301"/>
      <c r="D22" s="294"/>
      <c r="E22" s="212"/>
      <c r="F22" s="302"/>
      <c r="G22" s="303">
        <f>SUM(G20:G21)</f>
        <v>111122.64497753957</v>
      </c>
      <c r="H22" s="7"/>
      <c r="I22" s="80"/>
      <c r="J22" s="67"/>
      <c r="K22" s="79"/>
      <c r="L22" s="6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7" customHeight="1">
      <c r="A23" s="300"/>
      <c r="B23" s="289"/>
      <c r="C23" s="301"/>
      <c r="D23" s="294"/>
      <c r="E23" s="212"/>
      <c r="F23" s="302"/>
      <c r="G23" s="304"/>
      <c r="H23" s="7"/>
      <c r="I23" s="60"/>
      <c r="J23" s="7"/>
      <c r="K23" s="8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7" customHeight="1">
      <c r="A24" s="292" t="s">
        <v>29</v>
      </c>
      <c r="B24" s="305"/>
      <c r="C24" s="305"/>
      <c r="D24" s="290"/>
      <c r="E24" s="290" t="s">
        <v>22</v>
      </c>
      <c r="F24" s="290" t="s">
        <v>23</v>
      </c>
      <c r="G24" s="291" t="s">
        <v>24</v>
      </c>
      <c r="H24" s="85"/>
      <c r="I24" s="85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7" customHeight="1">
      <c r="A25" s="297" t="s">
        <v>33</v>
      </c>
      <c r="B25" s="306"/>
      <c r="C25" s="289"/>
      <c r="D25" s="289"/>
      <c r="E25" s="289"/>
      <c r="F25" s="289"/>
      <c r="G25" s="298"/>
      <c r="H25" s="85"/>
      <c r="I25" s="85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7" customHeight="1">
      <c r="A26" s="299" t="s">
        <v>27</v>
      </c>
      <c r="B26" s="202"/>
      <c r="C26" s="282"/>
      <c r="D26" s="281"/>
      <c r="E26" s="323">
        <f>E21*'1-Contractblad dag'!E27</f>
        <v>224.63040702162911</v>
      </c>
      <c r="F26" s="283">
        <f>'1-Contractblad dag'!F27</f>
        <v>47.165260574115123</v>
      </c>
      <c r="G26" s="324">
        <f>F26*E26</f>
        <v>10594.751680044676</v>
      </c>
      <c r="H26" s="85"/>
      <c r="I26" s="76"/>
      <c r="J26" s="7"/>
      <c r="K26" s="6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7" customHeight="1">
      <c r="A27" s="308"/>
      <c r="B27" s="309"/>
      <c r="C27" s="320"/>
      <c r="D27" s="311"/>
      <c r="E27" s="320"/>
      <c r="F27" s="313"/>
      <c r="G27" s="314">
        <f>SUM(G26:G26)</f>
        <v>10594.751680044676</v>
      </c>
      <c r="H27" s="85"/>
      <c r="I27" s="89"/>
      <c r="J27" s="7"/>
      <c r="K27" s="90"/>
      <c r="L27" s="88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7" hidden="1" customHeight="1">
      <c r="A28" s="75"/>
      <c r="B28" s="65"/>
      <c r="C28" s="76"/>
      <c r="D28" s="61"/>
      <c r="E28" s="76"/>
      <c r="F28" s="77"/>
      <c r="G28" s="81"/>
      <c r="H28" s="85"/>
      <c r="I28" s="89"/>
      <c r="J28" s="7"/>
      <c r="K28" s="90"/>
      <c r="L28" s="88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7" hidden="1" customHeight="1">
      <c r="A29" s="315"/>
      <c r="B29" s="287"/>
      <c r="C29" s="316"/>
      <c r="D29" s="316"/>
      <c r="E29" s="316" t="s">
        <v>22</v>
      </c>
      <c r="F29" s="316" t="s">
        <v>23</v>
      </c>
      <c r="G29" s="317" t="s">
        <v>24</v>
      </c>
      <c r="H29" s="10"/>
      <c r="I29" s="10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7" hidden="1" customHeight="1">
      <c r="A30" s="292" t="s">
        <v>35</v>
      </c>
      <c r="B30" s="293"/>
      <c r="C30" s="293"/>
      <c r="D30" s="294"/>
      <c r="E30" s="294"/>
      <c r="F30" s="295"/>
      <c r="G30" s="296"/>
      <c r="H30" s="10"/>
      <c r="I30" s="10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7" hidden="1" customHeight="1">
      <c r="A31" s="297" t="s">
        <v>26</v>
      </c>
      <c r="B31" s="289"/>
      <c r="C31" s="280"/>
      <c r="D31" s="289"/>
      <c r="E31" s="289"/>
      <c r="F31" s="289"/>
      <c r="G31" s="298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7" hidden="1" customHeight="1">
      <c r="A32" s="299" t="s">
        <v>36</v>
      </c>
      <c r="B32" s="202"/>
      <c r="C32" s="375"/>
      <c r="D32" s="281"/>
      <c r="E32" s="323">
        <f>((SUMIF('3-Basis ruimtestaat'!C:C,E$6,uren_zazofe)))/110*101</f>
        <v>0</v>
      </c>
      <c r="F32" s="283">
        <f>'1-Contractblad dag'!F33</f>
        <v>55.265508045049955</v>
      </c>
      <c r="G32" s="324">
        <f>F32*E32</f>
        <v>0</v>
      </c>
      <c r="H32" s="6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7" hidden="1" customHeight="1">
      <c r="A33" s="300"/>
      <c r="B33" s="289"/>
      <c r="C33" s="280"/>
      <c r="D33" s="294"/>
      <c r="E33" s="212"/>
      <c r="F33" s="302"/>
      <c r="G33" s="303">
        <f>SUM(G31:G32)</f>
        <v>0</v>
      </c>
      <c r="H33" s="7"/>
      <c r="I33" s="91"/>
      <c r="J33" s="67"/>
      <c r="K33" s="79"/>
      <c r="L33" s="6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7" hidden="1" customHeight="1">
      <c r="A34" s="300"/>
      <c r="B34" s="289"/>
      <c r="C34" s="301"/>
      <c r="D34" s="294"/>
      <c r="E34" s="212"/>
      <c r="F34" s="302"/>
      <c r="G34" s="304"/>
      <c r="H34" s="7"/>
      <c r="I34" s="82"/>
      <c r="J34" s="7"/>
      <c r="K34" s="83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7" hidden="1" customHeight="1">
      <c r="A35" s="292" t="s">
        <v>37</v>
      </c>
      <c r="B35" s="305"/>
      <c r="C35" s="305"/>
      <c r="D35" s="290"/>
      <c r="E35" s="290" t="s">
        <v>22</v>
      </c>
      <c r="F35" s="290" t="s">
        <v>23</v>
      </c>
      <c r="G35" s="291" t="s">
        <v>24</v>
      </c>
      <c r="H35" s="85"/>
      <c r="I35" s="85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7" hidden="1" customHeight="1">
      <c r="A36" s="297" t="s">
        <v>33</v>
      </c>
      <c r="B36" s="319"/>
      <c r="C36" s="319"/>
      <c r="D36" s="282"/>
      <c r="E36" s="282"/>
      <c r="F36" s="283"/>
      <c r="G36" s="298"/>
      <c r="H36" s="85"/>
      <c r="I36" s="85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7" hidden="1" customHeight="1">
      <c r="A37" s="299" t="s">
        <v>36</v>
      </c>
      <c r="B37" s="202"/>
      <c r="C37" s="282"/>
      <c r="D37" s="281"/>
      <c r="E37" s="374" t="str">
        <f>IF(E32=0,"",'1-Contractblad dag'!E38*'1-Contractblad locatie'!E32)</f>
        <v/>
      </c>
      <c r="F37" s="283">
        <f>'1-Contractblad dag'!F38</f>
        <v>66.392890861172702</v>
      </c>
      <c r="G37" s="318" t="str">
        <f>IF(E32=0,"",F37*E37)</f>
        <v/>
      </c>
      <c r="H37" s="85"/>
      <c r="I37" s="67"/>
      <c r="J37" s="7"/>
      <c r="K37" s="88"/>
      <c r="L37" s="8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7" hidden="1" customHeight="1">
      <c r="A38" s="308"/>
      <c r="B38" s="309"/>
      <c r="C38" s="320"/>
      <c r="D38" s="311"/>
      <c r="E38" s="320"/>
      <c r="F38" s="313"/>
      <c r="G38" s="314">
        <f>SUM(G36:G37)</f>
        <v>0</v>
      </c>
      <c r="H38" s="85"/>
      <c r="I38" s="91"/>
      <c r="J38" s="7"/>
      <c r="K38" s="90"/>
      <c r="L38" s="88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7" hidden="1" customHeight="1">
      <c r="A39" s="7"/>
      <c r="B39" s="7"/>
      <c r="C39" s="7"/>
      <c r="D39" s="7"/>
      <c r="E39" s="7"/>
      <c r="F39" s="7"/>
      <c r="G39" s="7"/>
      <c r="H39" s="7"/>
      <c r="I39" s="82"/>
      <c r="J39" s="7"/>
      <c r="K39" s="94"/>
      <c r="L39" s="88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7" hidden="1" customHeight="1">
      <c r="A40" s="315"/>
      <c r="B40" s="287"/>
      <c r="C40" s="316"/>
      <c r="D40" s="316"/>
      <c r="E40" s="316" t="s">
        <v>22</v>
      </c>
      <c r="F40" s="316" t="s">
        <v>23</v>
      </c>
      <c r="G40" s="317" t="s">
        <v>24</v>
      </c>
      <c r="H40" s="10"/>
      <c r="I40" s="10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7" hidden="1" customHeight="1">
      <c r="A41" s="292" t="s">
        <v>38</v>
      </c>
      <c r="B41" s="293"/>
      <c r="C41" s="293"/>
      <c r="D41" s="294"/>
      <c r="E41" s="294"/>
      <c r="F41" s="295"/>
      <c r="G41" s="296"/>
      <c r="H41" s="10"/>
      <c r="I41" s="10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7" hidden="1" customHeight="1">
      <c r="A42" s="297" t="s">
        <v>26</v>
      </c>
      <c r="B42" s="289"/>
      <c r="C42" s="280"/>
      <c r="D42" s="282"/>
      <c r="E42" s="282"/>
      <c r="F42" s="283"/>
      <c r="G42" s="29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7" hidden="1" customHeight="1">
      <c r="A43" s="299" t="s">
        <v>39</v>
      </c>
      <c r="B43" s="202"/>
      <c r="C43" s="280"/>
      <c r="D43" s="281"/>
      <c r="E43" s="323">
        <f>((SUMIF('3-Basis ruimtestaat'!C:C,E$6,uren_zazofe)))/110*9</f>
        <v>0</v>
      </c>
      <c r="F43" s="283">
        <f>'1-Contractblad dag'!F45</f>
        <v>87.802513408416587</v>
      </c>
      <c r="G43" s="318" t="str">
        <f>IF(E43=0,"",F43*E43)</f>
        <v/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7" hidden="1" customHeight="1">
      <c r="A44" s="300"/>
      <c r="B44" s="289"/>
      <c r="C44" s="301"/>
      <c r="D44" s="294"/>
      <c r="E44" s="212"/>
      <c r="F44" s="302"/>
      <c r="G44" s="303">
        <f>SUM(G42:G43)</f>
        <v>0</v>
      </c>
      <c r="H44" s="7"/>
      <c r="I44" s="91"/>
      <c r="J44" s="67"/>
      <c r="K44" s="79"/>
      <c r="L44" s="6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7" hidden="1" customHeight="1">
      <c r="A45" s="300"/>
      <c r="B45" s="289"/>
      <c r="C45" s="301"/>
      <c r="D45" s="294"/>
      <c r="E45" s="212"/>
      <c r="F45" s="302"/>
      <c r="G45" s="304"/>
      <c r="H45" s="7"/>
      <c r="I45" s="82"/>
      <c r="J45" s="7"/>
      <c r="K45" s="83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7" hidden="1" customHeight="1">
      <c r="A46" s="292" t="s">
        <v>40</v>
      </c>
      <c r="B46" s="305"/>
      <c r="C46" s="305"/>
      <c r="D46" s="290"/>
      <c r="E46" s="290" t="s">
        <v>22</v>
      </c>
      <c r="F46" s="290" t="s">
        <v>23</v>
      </c>
      <c r="G46" s="291" t="s">
        <v>24</v>
      </c>
      <c r="H46" s="85"/>
      <c r="I46" s="85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7" hidden="1" customHeight="1">
      <c r="A47" s="297" t="s">
        <v>33</v>
      </c>
      <c r="B47" s="319"/>
      <c r="C47" s="319"/>
      <c r="D47" s="282"/>
      <c r="E47" s="282"/>
      <c r="F47" s="283"/>
      <c r="G47" s="298"/>
      <c r="H47" s="85"/>
      <c r="I47" s="85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7" hidden="1" customHeight="1">
      <c r="A48" s="299" t="s">
        <v>39</v>
      </c>
      <c r="B48" s="202"/>
      <c r="C48" s="282"/>
      <c r="D48" s="281"/>
      <c r="E48" s="374" t="str">
        <f>IF(E43=0,"",'1-Contractblad dag'!E50*'1-Contractblad locatie'!E43)</f>
        <v/>
      </c>
      <c r="F48" s="283">
        <f>'1-Contractblad dag'!F50</f>
        <v>104.84815143528783</v>
      </c>
      <c r="G48" s="318" t="str">
        <f>IF(E43=0,"",F48*E48)</f>
        <v/>
      </c>
      <c r="H48" s="85"/>
      <c r="I48" s="67"/>
      <c r="J48" s="7"/>
      <c r="K48" s="88"/>
      <c r="L48" s="88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7" hidden="1" customHeight="1">
      <c r="A49" s="308"/>
      <c r="B49" s="309"/>
      <c r="C49" s="320"/>
      <c r="D49" s="311"/>
      <c r="E49" s="320">
        <f>SUM(E47:E48)</f>
        <v>0</v>
      </c>
      <c r="F49" s="313"/>
      <c r="G49" s="314">
        <f>SUM(G47:G48)</f>
        <v>0</v>
      </c>
      <c r="H49" s="85"/>
      <c r="I49" s="91"/>
      <c r="J49" s="7"/>
      <c r="K49" s="90"/>
      <c r="L49" s="88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7" customHeight="1">
      <c r="A50" s="75"/>
      <c r="B50" s="85"/>
      <c r="C50" s="85"/>
      <c r="D50" s="85"/>
      <c r="E50" s="85"/>
      <c r="F50" s="77"/>
      <c r="G50" s="85"/>
      <c r="H50" s="85"/>
      <c r="I50" s="10" t="s">
        <v>59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7" customHeight="1">
      <c r="A51" s="75" t="s">
        <v>60</v>
      </c>
      <c r="B51" s="85"/>
      <c r="C51" s="85"/>
      <c r="D51" s="85"/>
      <c r="E51" s="85"/>
      <c r="F51" s="77"/>
      <c r="G51" s="60">
        <f>I51/'1-Contractblad dag'!E22*E21</f>
        <v>4263.5732156262156</v>
      </c>
      <c r="H51" s="85"/>
      <c r="I51" s="78">
        <f>'1-Contractblad dag'!G53</f>
        <v>9680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7" customHeight="1">
      <c r="A52" s="75"/>
      <c r="B52" s="85"/>
      <c r="C52" s="85"/>
      <c r="D52" s="85"/>
      <c r="E52" s="85"/>
      <c r="F52" s="77"/>
      <c r="G52" s="60"/>
      <c r="H52" s="85"/>
      <c r="I52" s="78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7" customHeight="1">
      <c r="A53" s="75"/>
      <c r="B53" s="85"/>
      <c r="C53" s="85"/>
      <c r="D53" s="85"/>
      <c r="E53" s="85"/>
      <c r="F53" s="77"/>
      <c r="G53" s="60"/>
      <c r="H53" s="85"/>
      <c r="I53" s="78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7" customHeight="1">
      <c r="A54" s="75"/>
      <c r="B54" s="85"/>
      <c r="C54" s="85"/>
      <c r="D54" s="85"/>
      <c r="E54" s="85"/>
      <c r="F54" s="77"/>
      <c r="G54" s="85"/>
      <c r="H54" s="85"/>
      <c r="I54" s="85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7" customHeight="1">
      <c r="A55" s="95" t="s">
        <v>43</v>
      </c>
      <c r="B55" s="7"/>
      <c r="C55" s="7"/>
      <c r="D55" s="7"/>
      <c r="E55" s="7"/>
      <c r="F55" s="7"/>
      <c r="G55" s="78">
        <f>G22+G27+G51+G38+G33+G44+G49</f>
        <v>125980.96987321046</v>
      </c>
      <c r="H55" s="85"/>
      <c r="I55" s="78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7" customHeight="1">
      <c r="A56" s="96" t="s">
        <v>44</v>
      </c>
      <c r="B56" s="7"/>
      <c r="C56" s="7"/>
      <c r="D56" s="7"/>
      <c r="E56" s="7"/>
      <c r="F56" s="97">
        <v>0.21</v>
      </c>
      <c r="G56" s="73">
        <f>F56*G55</f>
        <v>26456.003673374194</v>
      </c>
      <c r="H56" s="85"/>
      <c r="I56" s="85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7" customHeight="1">
      <c r="A57" s="96" t="s">
        <v>45</v>
      </c>
      <c r="B57" s="7"/>
      <c r="C57" s="7"/>
      <c r="D57" s="7"/>
      <c r="E57" s="7"/>
      <c r="F57" s="10" t="s">
        <v>46</v>
      </c>
      <c r="G57" s="60">
        <f>G56+G55</f>
        <v>152436.97354658466</v>
      </c>
      <c r="H57" s="85"/>
      <c r="I57" s="85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7" customHeight="1">
      <c r="A58" s="75"/>
      <c r="B58" s="85"/>
      <c r="C58" s="85"/>
      <c r="D58" s="85"/>
      <c r="E58" s="85"/>
      <c r="F58" s="85"/>
      <c r="G58" s="60"/>
      <c r="H58" s="85"/>
      <c r="I58" s="85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7" customHeight="1">
      <c r="A59" s="98" t="s">
        <v>48</v>
      </c>
      <c r="B59" s="505"/>
      <c r="C59" s="505"/>
      <c r="D59" s="505"/>
      <c r="E59" s="505"/>
      <c r="F59" s="500"/>
      <c r="G59" s="99"/>
      <c r="H59" s="7"/>
      <c r="I59" s="10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7" customHeight="1">
      <c r="A60" s="75"/>
      <c r="B60" s="85"/>
      <c r="C60" s="85"/>
      <c r="D60" s="85"/>
      <c r="E60" s="85"/>
      <c r="F60" s="85"/>
      <c r="G60" s="85"/>
      <c r="H60" s="85"/>
      <c r="I60" s="85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7" customHeight="1">
      <c r="A61" s="100"/>
      <c r="B61" s="506"/>
      <c r="C61" s="61" t="s">
        <v>61</v>
      </c>
      <c r="D61" s="61" t="s">
        <v>62</v>
      </c>
      <c r="E61" s="101" t="s">
        <v>63</v>
      </c>
      <c r="F61" s="61" t="s">
        <v>64</v>
      </c>
      <c r="G61" s="61" t="s">
        <v>24</v>
      </c>
      <c r="H61" s="7"/>
      <c r="I61" s="102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7" customHeight="1">
      <c r="A62" s="103" t="s">
        <v>49</v>
      </c>
      <c r="B62" s="87"/>
      <c r="C62" s="196">
        <f>VLOOKUP(E$6,glas,3,TRUE)</f>
        <v>3</v>
      </c>
      <c r="D62" s="196">
        <f>VLOOKUP(E$6,glas,2,TRUE)</f>
        <v>1249.8</v>
      </c>
      <c r="E62" s="197">
        <f>F62/D62</f>
        <v>0</v>
      </c>
      <c r="F62" s="60">
        <f>G62/C62</f>
        <v>0</v>
      </c>
      <c r="G62" s="104">
        <f>VLOOKUP(E$6,glas,5,TRUE)</f>
        <v>0</v>
      </c>
      <c r="H62" s="85"/>
      <c r="I62" s="102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7" customHeight="1">
      <c r="A63" s="103" t="s">
        <v>50</v>
      </c>
      <c r="B63" s="87"/>
      <c r="C63" s="196">
        <f>VLOOKUP(E$6,glas,8,TRUE)</f>
        <v>2</v>
      </c>
      <c r="D63" s="196">
        <f>VLOOKUP(E$6,glas,7,TRUE)</f>
        <v>1396.99</v>
      </c>
      <c r="E63" s="197">
        <f t="shared" ref="E63:E65" si="0">F63/D63</f>
        <v>0</v>
      </c>
      <c r="F63" s="60">
        <f t="shared" ref="F63:F65" si="1">G63/C63</f>
        <v>0</v>
      </c>
      <c r="G63" s="104">
        <f>VLOOKUP(E$6,glas,10,TRUE)</f>
        <v>0</v>
      </c>
      <c r="H63" s="85"/>
      <c r="I63" s="102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7" customHeight="1">
      <c r="A64" s="103" t="s">
        <v>65</v>
      </c>
      <c r="B64" s="87"/>
      <c r="C64" s="196">
        <f>VLOOKUP(E$6,glas,13,TRUE)</f>
        <v>2</v>
      </c>
      <c r="D64" s="196">
        <f>VLOOKUP(E$6,glas,12,TRUE)</f>
        <v>1242.2</v>
      </c>
      <c r="E64" s="197">
        <f t="shared" si="0"/>
        <v>0</v>
      </c>
      <c r="F64" s="60">
        <f t="shared" si="1"/>
        <v>0</v>
      </c>
      <c r="G64" s="104">
        <f>VLOOKUP(E$6,glas,15,TRUE)</f>
        <v>0</v>
      </c>
      <c r="H64" s="85"/>
      <c r="I64" s="102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7" customHeight="1">
      <c r="A65" s="103" t="s">
        <v>52</v>
      </c>
      <c r="B65" s="87"/>
      <c r="C65" s="196">
        <f>VLOOKUP(E$6,glas,18,TRUE)</f>
        <v>0</v>
      </c>
      <c r="D65" s="196">
        <f>VLOOKUP(E$6,glas,17,TRUE)</f>
        <v>0</v>
      </c>
      <c r="E65" s="197" t="e">
        <f t="shared" si="0"/>
        <v>#DIV/0!</v>
      </c>
      <c r="F65" s="60" t="e">
        <f t="shared" si="1"/>
        <v>#DIV/0!</v>
      </c>
      <c r="G65" s="104">
        <f>VLOOKUP(E$6,glas,20,TRUE)</f>
        <v>0</v>
      </c>
      <c r="H65" s="85"/>
      <c r="I65" s="102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7" customHeight="1">
      <c r="A66" s="103"/>
      <c r="B66" s="87"/>
      <c r="C66" s="9"/>
      <c r="D66" s="105"/>
      <c r="E66" s="82"/>
      <c r="F66" s="60"/>
      <c r="G66" s="106"/>
      <c r="H66" s="85"/>
      <c r="I66" s="102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7" customHeight="1">
      <c r="A67" s="75" t="s">
        <v>53</v>
      </c>
      <c r="B67" s="502"/>
      <c r="C67" s="107"/>
      <c r="D67" s="107"/>
      <c r="E67" s="108"/>
      <c r="F67" s="108"/>
      <c r="G67" s="108" t="s">
        <v>24</v>
      </c>
      <c r="H67" s="82"/>
      <c r="I67" s="85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7" customHeight="1">
      <c r="A68" s="75"/>
      <c r="B68" s="502"/>
      <c r="C68" s="107"/>
      <c r="D68" s="107"/>
      <c r="F68" s="108"/>
      <c r="G68" s="108"/>
      <c r="H68" s="82"/>
      <c r="I68" s="85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7" customHeight="1">
      <c r="A69" s="96" t="s">
        <v>54</v>
      </c>
      <c r="B69" s="502"/>
      <c r="C69" s="9"/>
      <c r="D69" s="109"/>
      <c r="E69" s="408" t="str">
        <f>VLOOKUP(E$6,glas,22,TRUE)</f>
        <v>HW + steiger</v>
      </c>
      <c r="F69" s="60"/>
      <c r="G69" s="104">
        <f>VLOOKUP(E$6,glas,20,TRUE)+VLOOKUP(E$6,glas,25,TRUE)</f>
        <v>0</v>
      </c>
      <c r="H69" s="110"/>
      <c r="I69" s="85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7" customHeight="1">
      <c r="A70" s="96"/>
      <c r="B70" s="7"/>
      <c r="C70" s="7"/>
      <c r="D70" s="7"/>
      <c r="E70" s="112"/>
      <c r="F70" s="87"/>
      <c r="G70" s="87"/>
      <c r="H70" s="112"/>
      <c r="I70" s="85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7" customHeight="1">
      <c r="A71" s="95" t="s">
        <v>43</v>
      </c>
      <c r="B71" s="7"/>
      <c r="C71" s="7"/>
      <c r="D71" s="7"/>
      <c r="E71" s="1"/>
      <c r="F71" s="7"/>
      <c r="G71" s="78">
        <f>SUM(G62:G69)</f>
        <v>0</v>
      </c>
      <c r="H71" s="7"/>
      <c r="I71" s="85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7" customHeight="1">
      <c r="A72" s="96" t="s">
        <v>44</v>
      </c>
      <c r="B72" s="7"/>
      <c r="C72" s="7"/>
      <c r="D72" s="7"/>
      <c r="E72" s="7"/>
      <c r="F72" s="97">
        <v>0.21</v>
      </c>
      <c r="G72" s="73">
        <f>F72*G71</f>
        <v>0</v>
      </c>
      <c r="H72" s="7"/>
      <c r="I72" s="10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7" customHeight="1">
      <c r="A73" s="96" t="s">
        <v>45</v>
      </c>
      <c r="B73" s="7"/>
      <c r="C73" s="7"/>
      <c r="D73" s="7"/>
      <c r="E73" s="7"/>
      <c r="F73" s="10" t="s">
        <v>46</v>
      </c>
      <c r="G73" s="60">
        <f>G72+G71</f>
        <v>0</v>
      </c>
      <c r="H73" s="7"/>
      <c r="I73" s="10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7" customHeight="1">
      <c r="A74" s="7"/>
      <c r="B74" s="7"/>
      <c r="C74" s="7"/>
      <c r="D74" s="7"/>
      <c r="E74" s="7"/>
      <c r="F74" s="7"/>
      <c r="G74" s="60"/>
      <c r="H74" s="7"/>
      <c r="I74" s="10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7" customHeight="1">
      <c r="A75" s="96"/>
      <c r="B75" s="10"/>
      <c r="C75" s="7"/>
      <c r="D75" s="7"/>
      <c r="E75" s="7"/>
      <c r="F75" s="10"/>
      <c r="G75" s="10"/>
      <c r="H75" s="7"/>
      <c r="I75" s="10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7" customHeight="1">
      <c r="A76" s="96"/>
      <c r="B76" s="10"/>
      <c r="C76" s="7"/>
      <c r="D76" s="7"/>
      <c r="E76" s="7"/>
      <c r="F76" s="10"/>
      <c r="G76" s="10"/>
      <c r="H76" s="7"/>
      <c r="I76" s="10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7" customHeight="1">
      <c r="A77" s="96"/>
      <c r="B77" s="10"/>
      <c r="C77" s="7"/>
      <c r="D77" s="7"/>
      <c r="E77" s="7"/>
      <c r="F77" s="10"/>
      <c r="G77" s="10"/>
      <c r="H77" s="7"/>
      <c r="I77" s="10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7" customHeight="1">
      <c r="A78" s="96"/>
      <c r="B78" s="10"/>
      <c r="C78" s="7"/>
      <c r="D78" s="7"/>
      <c r="E78" s="7"/>
      <c r="F78" s="10"/>
      <c r="G78" s="10"/>
      <c r="H78" s="7"/>
      <c r="I78" s="10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7" customHeight="1">
      <c r="A79" s="7"/>
      <c r="B79" s="7"/>
      <c r="C79" s="7"/>
      <c r="D79" s="7"/>
      <c r="E79" s="7"/>
      <c r="F79" s="7"/>
      <c r="G79" s="7"/>
      <c r="H79" s="7"/>
      <c r="I79" s="10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7" customHeight="1">
      <c r="A80" s="7"/>
      <c r="B80" s="7"/>
      <c r="C80" s="7"/>
      <c r="D80" s="7"/>
      <c r="E80" s="7"/>
      <c r="F80" s="7"/>
      <c r="G80" s="7"/>
      <c r="H80" s="7"/>
      <c r="I80" s="10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7" customHeight="1">
      <c r="A81" s="7"/>
      <c r="B81" s="7"/>
      <c r="C81" s="7"/>
      <c r="D81" s="7"/>
      <c r="E81" s="7"/>
      <c r="F81" s="7"/>
      <c r="G81" s="7"/>
      <c r="H81" s="7"/>
      <c r="I81" s="10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7" customHeight="1">
      <c r="A82" s="7"/>
      <c r="B82" s="7"/>
      <c r="C82" s="7"/>
      <c r="D82" s="7"/>
      <c r="E82" s="7"/>
      <c r="F82" s="7"/>
      <c r="G82" s="7"/>
      <c r="H82" s="7"/>
      <c r="I82" s="10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7" customHeight="1">
      <c r="A83" s="7"/>
      <c r="B83" s="7"/>
      <c r="C83" s="7"/>
      <c r="D83" s="7"/>
      <c r="E83" s="7"/>
      <c r="F83" s="7"/>
      <c r="G83" s="7"/>
      <c r="H83" s="7"/>
      <c r="I83" s="10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7" customHeight="1">
      <c r="A84" s="7"/>
      <c r="B84" s="7"/>
      <c r="C84" s="7"/>
      <c r="D84" s="7"/>
      <c r="E84" s="7"/>
      <c r="F84" s="7"/>
      <c r="G84" s="7"/>
      <c r="H84" s="7"/>
      <c r="I84" s="10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7" customHeight="1">
      <c r="A85" s="7"/>
      <c r="B85" s="7"/>
      <c r="C85" s="7"/>
      <c r="D85" s="7"/>
      <c r="E85" s="7"/>
      <c r="F85" s="7"/>
      <c r="G85" s="7"/>
      <c r="H85" s="7"/>
      <c r="I85" s="10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7" customHeight="1">
      <c r="A86" s="7"/>
      <c r="B86" s="7"/>
      <c r="C86" s="7"/>
      <c r="D86" s="7"/>
      <c r="E86" s="7"/>
      <c r="F86" s="7"/>
      <c r="G86" s="7"/>
      <c r="H86" s="7"/>
      <c r="I86" s="10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7" customHeight="1">
      <c r="A87" s="7"/>
      <c r="B87" s="7"/>
      <c r="C87" s="7"/>
      <c r="D87" s="7"/>
      <c r="E87" s="7"/>
      <c r="F87" s="7"/>
      <c r="G87" s="7"/>
      <c r="H87" s="7"/>
      <c r="I87" s="10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7" customHeight="1">
      <c r="A88" s="7"/>
      <c r="B88" s="7"/>
      <c r="C88" s="7"/>
      <c r="D88" s="7"/>
      <c r="E88" s="7"/>
      <c r="F88" s="7"/>
      <c r="G88" s="7"/>
      <c r="H88" s="7"/>
      <c r="I88" s="10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7" customHeight="1">
      <c r="A89" s="7"/>
      <c r="B89" s="7"/>
      <c r="C89" s="7"/>
      <c r="D89" s="7"/>
      <c r="E89" s="7"/>
      <c r="F89" s="7"/>
      <c r="G89" s="7"/>
      <c r="H89" s="7"/>
      <c r="I89" s="10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7" customHeight="1">
      <c r="A90" s="7"/>
      <c r="B90" s="7"/>
      <c r="C90" s="7"/>
      <c r="D90" s="7"/>
      <c r="E90" s="7"/>
      <c r="F90" s="7"/>
      <c r="G90" s="7"/>
      <c r="H90" s="7"/>
      <c r="I90" s="10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7" customHeight="1">
      <c r="A91" s="7"/>
      <c r="B91" s="7"/>
      <c r="C91" s="7"/>
      <c r="D91" s="7"/>
      <c r="E91" s="7"/>
      <c r="F91" s="7"/>
      <c r="G91" s="7"/>
      <c r="H91" s="7"/>
      <c r="I91" s="10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7" customHeight="1">
      <c r="A92" s="7"/>
      <c r="B92" s="7"/>
      <c r="C92" s="7"/>
      <c r="D92" s="7"/>
      <c r="E92" s="7"/>
      <c r="F92" s="7"/>
      <c r="G92" s="7"/>
      <c r="H92" s="7"/>
      <c r="I92" s="10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7" customHeight="1">
      <c r="A93" s="7"/>
      <c r="B93" s="7"/>
      <c r="C93" s="7"/>
      <c r="D93" s="7"/>
      <c r="E93" s="7"/>
      <c r="F93" s="7"/>
      <c r="G93" s="7"/>
      <c r="H93" s="7"/>
      <c r="I93" s="10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7" customHeight="1">
      <c r="A94" s="7"/>
      <c r="B94" s="7"/>
      <c r="C94" s="7"/>
      <c r="D94" s="7"/>
      <c r="E94" s="7"/>
      <c r="F94" s="7"/>
      <c r="G94" s="7"/>
      <c r="H94" s="7"/>
      <c r="I94" s="10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7" customHeight="1">
      <c r="A95" s="7"/>
      <c r="B95" s="7"/>
      <c r="C95" s="7"/>
      <c r="D95" s="7"/>
      <c r="E95" s="7"/>
      <c r="F95" s="7"/>
      <c r="G95" s="7"/>
      <c r="H95" s="7"/>
      <c r="I95" s="10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7" customHeight="1">
      <c r="A96" s="7"/>
      <c r="B96" s="7"/>
      <c r="C96" s="7"/>
      <c r="D96" s="7"/>
      <c r="E96" s="7"/>
      <c r="F96" s="7"/>
      <c r="G96" s="7"/>
      <c r="H96" s="7"/>
      <c r="I96" s="10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7" customHeight="1">
      <c r="A97" s="7"/>
      <c r="B97" s="7"/>
      <c r="C97" s="7"/>
      <c r="D97" s="7"/>
      <c r="E97" s="7"/>
      <c r="F97" s="7"/>
      <c r="G97" s="7"/>
      <c r="H97" s="7"/>
      <c r="I97" s="10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7" customHeight="1">
      <c r="A98" s="7"/>
      <c r="B98" s="7"/>
      <c r="C98" s="7"/>
      <c r="D98" s="7"/>
      <c r="E98" s="7"/>
      <c r="F98" s="7"/>
      <c r="G98" s="7"/>
      <c r="H98" s="7"/>
      <c r="I98" s="10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7" customHeight="1">
      <c r="A99" s="7"/>
      <c r="B99" s="7"/>
      <c r="C99" s="7"/>
      <c r="D99" s="7"/>
      <c r="E99" s="7"/>
      <c r="F99" s="7"/>
      <c r="G99" s="7"/>
      <c r="H99" s="7"/>
      <c r="I99" s="10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7" customHeight="1">
      <c r="A100" s="7"/>
      <c r="B100" s="7"/>
      <c r="C100" s="7"/>
      <c r="D100" s="7"/>
      <c r="E100" s="7"/>
      <c r="F100" s="7"/>
      <c r="G100" s="7"/>
      <c r="H100" s="7"/>
      <c r="I100" s="10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7" customHeight="1">
      <c r="A101" s="7"/>
      <c r="B101" s="7"/>
      <c r="C101" s="7"/>
      <c r="D101" s="7"/>
      <c r="E101" s="7"/>
      <c r="F101" s="7"/>
      <c r="G101" s="7"/>
      <c r="H101" s="7"/>
      <c r="I101" s="10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7" customHeight="1">
      <c r="A102" s="7"/>
      <c r="B102" s="7"/>
      <c r="C102" s="7"/>
      <c r="D102" s="7"/>
      <c r="E102" s="7"/>
      <c r="F102" s="7"/>
      <c r="G102" s="7"/>
      <c r="H102" s="7"/>
      <c r="I102" s="10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7" customHeight="1">
      <c r="A103" s="7"/>
      <c r="B103" s="7"/>
      <c r="C103" s="7"/>
      <c r="D103" s="7"/>
      <c r="E103" s="7"/>
      <c r="F103" s="7"/>
      <c r="G103" s="7"/>
      <c r="H103" s="7"/>
      <c r="I103" s="10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7" customHeight="1">
      <c r="A104" s="7"/>
      <c r="B104" s="7"/>
      <c r="C104" s="7"/>
      <c r="D104" s="7"/>
      <c r="E104" s="7"/>
      <c r="F104" s="7"/>
      <c r="G104" s="7"/>
      <c r="H104" s="7"/>
      <c r="I104" s="10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7" customHeight="1">
      <c r="A105" s="7"/>
      <c r="B105" s="7"/>
      <c r="C105" s="7"/>
      <c r="D105" s="7"/>
      <c r="E105" s="7"/>
      <c r="F105" s="7"/>
      <c r="G105" s="7"/>
      <c r="H105" s="7"/>
      <c r="I105" s="10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7" customHeight="1">
      <c r="A106" s="7"/>
      <c r="B106" s="7"/>
      <c r="C106" s="7"/>
      <c r="D106" s="7"/>
      <c r="E106" s="7"/>
      <c r="F106" s="7"/>
      <c r="G106" s="7"/>
      <c r="H106" s="7"/>
      <c r="I106" s="10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7" customHeight="1">
      <c r="A107" s="7"/>
      <c r="B107" s="7"/>
      <c r="C107" s="7"/>
      <c r="D107" s="7"/>
      <c r="E107" s="7"/>
      <c r="F107" s="7"/>
      <c r="G107" s="7"/>
      <c r="H107" s="7"/>
      <c r="I107" s="10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7" customHeight="1">
      <c r="A108" s="7"/>
      <c r="B108" s="7"/>
      <c r="C108" s="7"/>
      <c r="D108" s="7"/>
      <c r="E108" s="7"/>
      <c r="F108" s="7"/>
      <c r="G108" s="7"/>
      <c r="H108" s="7"/>
      <c r="I108" s="10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7" customHeight="1">
      <c r="A109" s="7"/>
      <c r="B109" s="7"/>
      <c r="C109" s="7"/>
      <c r="D109" s="7"/>
      <c r="E109" s="7"/>
      <c r="F109" s="7"/>
      <c r="G109" s="7"/>
      <c r="H109" s="7"/>
      <c r="I109" s="10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7" customHeight="1">
      <c r="A110" s="7"/>
      <c r="B110" s="7"/>
      <c r="C110" s="7"/>
      <c r="D110" s="7"/>
      <c r="E110" s="7"/>
      <c r="F110" s="7"/>
      <c r="G110" s="7"/>
      <c r="H110" s="7"/>
      <c r="I110" s="10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7" customHeight="1">
      <c r="A111" s="7"/>
      <c r="B111" s="7"/>
      <c r="C111" s="7"/>
      <c r="D111" s="7"/>
      <c r="E111" s="7"/>
      <c r="F111" s="7"/>
      <c r="G111" s="7"/>
      <c r="H111" s="7"/>
      <c r="I111" s="10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7" customHeight="1">
      <c r="A112" s="7"/>
      <c r="B112" s="7"/>
      <c r="C112" s="7"/>
      <c r="D112" s="7"/>
      <c r="E112" s="7"/>
      <c r="F112" s="7"/>
      <c r="G112" s="7"/>
      <c r="H112" s="7"/>
      <c r="I112" s="10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7" customHeight="1">
      <c r="A113" s="7"/>
      <c r="B113" s="7"/>
      <c r="C113" s="7"/>
      <c r="D113" s="7"/>
      <c r="E113" s="7"/>
      <c r="F113" s="7"/>
      <c r="G113" s="7"/>
      <c r="H113" s="7"/>
      <c r="I113" s="10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7" customHeight="1">
      <c r="A114" s="7"/>
      <c r="B114" s="7"/>
      <c r="C114" s="7"/>
      <c r="D114" s="7"/>
      <c r="E114" s="7"/>
      <c r="F114" s="7"/>
      <c r="G114" s="7"/>
      <c r="H114" s="7"/>
      <c r="I114" s="10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7" customHeight="1">
      <c r="A115" s="7"/>
      <c r="B115" s="7"/>
      <c r="C115" s="7"/>
      <c r="D115" s="7"/>
      <c r="E115" s="7"/>
      <c r="F115" s="7"/>
      <c r="G115" s="7"/>
      <c r="H115" s="7"/>
      <c r="I115" s="10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7" customHeight="1">
      <c r="A116" s="7"/>
      <c r="B116" s="7"/>
      <c r="C116" s="7"/>
      <c r="D116" s="7"/>
      <c r="E116" s="7"/>
      <c r="F116" s="7"/>
      <c r="G116" s="7"/>
      <c r="H116" s="7"/>
      <c r="I116" s="10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7" customHeight="1">
      <c r="A117" s="7"/>
      <c r="B117" s="7"/>
      <c r="C117" s="7"/>
      <c r="D117" s="7"/>
      <c r="E117" s="7"/>
      <c r="F117" s="7"/>
      <c r="G117" s="7"/>
      <c r="H117" s="7"/>
      <c r="I117" s="10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7" customHeight="1">
      <c r="A118" s="7"/>
      <c r="B118" s="7"/>
      <c r="C118" s="7"/>
      <c r="D118" s="7"/>
      <c r="E118" s="7"/>
      <c r="F118" s="7"/>
      <c r="G118" s="7"/>
      <c r="H118" s="7"/>
      <c r="I118" s="10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7" customHeight="1">
      <c r="A119" s="7"/>
      <c r="B119" s="7"/>
      <c r="C119" s="7"/>
      <c r="D119" s="7"/>
      <c r="E119" s="7"/>
      <c r="F119" s="7"/>
      <c r="G119" s="7"/>
      <c r="H119" s="7"/>
      <c r="I119" s="10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7" customHeight="1">
      <c r="A120" s="7"/>
      <c r="B120" s="7"/>
      <c r="C120" s="7"/>
      <c r="D120" s="7"/>
      <c r="E120" s="7"/>
      <c r="F120" s="7"/>
      <c r="G120" s="7"/>
      <c r="H120" s="7"/>
      <c r="I120" s="10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7" customHeight="1">
      <c r="A121" s="7"/>
      <c r="B121" s="7"/>
      <c r="C121" s="7"/>
      <c r="D121" s="7"/>
      <c r="E121" s="7"/>
      <c r="F121" s="7"/>
      <c r="G121" s="7"/>
      <c r="H121" s="7"/>
      <c r="I121" s="10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7" customHeight="1">
      <c r="A122" s="7"/>
      <c r="B122" s="7"/>
      <c r="C122" s="7"/>
      <c r="D122" s="7"/>
      <c r="E122" s="7"/>
      <c r="F122" s="7"/>
      <c r="G122" s="7"/>
      <c r="H122" s="7"/>
      <c r="I122" s="10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7" customHeight="1">
      <c r="A123" s="7"/>
      <c r="B123" s="7"/>
      <c r="C123" s="7"/>
      <c r="D123" s="7"/>
      <c r="E123" s="7"/>
      <c r="F123" s="7"/>
      <c r="G123" s="7"/>
      <c r="H123" s="7"/>
      <c r="I123" s="10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7" customHeight="1">
      <c r="A124" s="7"/>
      <c r="B124" s="7"/>
      <c r="C124" s="7"/>
      <c r="D124" s="7"/>
      <c r="E124" s="7"/>
      <c r="F124" s="7"/>
      <c r="G124" s="7"/>
      <c r="H124" s="7"/>
      <c r="I124" s="10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7" customHeight="1">
      <c r="A125" s="7"/>
      <c r="B125" s="7"/>
      <c r="C125" s="7"/>
      <c r="D125" s="7"/>
      <c r="E125" s="7"/>
      <c r="F125" s="7"/>
      <c r="G125" s="7"/>
      <c r="H125" s="7"/>
      <c r="I125" s="10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7" customHeight="1">
      <c r="A126" s="7"/>
      <c r="B126" s="7"/>
      <c r="C126" s="7"/>
      <c r="D126" s="7"/>
      <c r="E126" s="7"/>
      <c r="F126" s="7"/>
      <c r="G126" s="7"/>
      <c r="H126" s="7"/>
      <c r="I126" s="10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7" customHeight="1">
      <c r="A127" s="7"/>
      <c r="B127" s="7"/>
      <c r="C127" s="7"/>
      <c r="D127" s="7"/>
      <c r="E127" s="7"/>
      <c r="F127" s="7"/>
      <c r="G127" s="7"/>
      <c r="H127" s="7"/>
      <c r="I127" s="10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7" customHeight="1">
      <c r="A128" s="7"/>
      <c r="B128" s="7"/>
      <c r="C128" s="7"/>
      <c r="D128" s="7"/>
      <c r="E128" s="7"/>
      <c r="F128" s="7"/>
      <c r="G128" s="7"/>
      <c r="H128" s="7"/>
      <c r="I128" s="10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7" customHeight="1">
      <c r="A129" s="7"/>
      <c r="B129" s="7"/>
      <c r="C129" s="7"/>
      <c r="D129" s="7"/>
      <c r="E129" s="7"/>
      <c r="F129" s="7"/>
      <c r="G129" s="7"/>
      <c r="H129" s="7"/>
      <c r="I129" s="10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7" customHeight="1">
      <c r="A130" s="7"/>
      <c r="B130" s="7"/>
      <c r="C130" s="7"/>
      <c r="D130" s="7"/>
      <c r="E130" s="7"/>
      <c r="F130" s="7"/>
      <c r="G130" s="7"/>
      <c r="H130" s="7"/>
      <c r="I130" s="10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7" customHeight="1">
      <c r="A131" s="7"/>
      <c r="B131" s="7"/>
      <c r="C131" s="7"/>
      <c r="D131" s="7"/>
      <c r="E131" s="7"/>
      <c r="F131" s="7"/>
      <c r="G131" s="7"/>
      <c r="H131" s="7"/>
      <c r="I131" s="10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7" customHeight="1">
      <c r="A132" s="7"/>
      <c r="B132" s="7"/>
      <c r="C132" s="7"/>
      <c r="D132" s="7"/>
      <c r="E132" s="7"/>
      <c r="F132" s="7"/>
      <c r="G132" s="7"/>
      <c r="H132" s="7"/>
      <c r="I132" s="10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7" customHeight="1">
      <c r="A133" s="7"/>
      <c r="B133" s="7"/>
      <c r="C133" s="7"/>
      <c r="D133" s="7"/>
      <c r="E133" s="7"/>
      <c r="F133" s="7"/>
      <c r="G133" s="7"/>
      <c r="H133" s="7"/>
      <c r="I133" s="10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7" customHeight="1">
      <c r="A134" s="7"/>
      <c r="B134" s="7"/>
      <c r="C134" s="7"/>
      <c r="D134" s="7"/>
      <c r="E134" s="7"/>
      <c r="F134" s="7"/>
      <c r="G134" s="7"/>
      <c r="H134" s="7"/>
      <c r="I134" s="10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7" customHeight="1">
      <c r="A135" s="7"/>
      <c r="B135" s="7"/>
      <c r="C135" s="7"/>
      <c r="D135" s="7"/>
      <c r="E135" s="7"/>
      <c r="F135" s="7"/>
      <c r="G135" s="7"/>
      <c r="H135" s="7"/>
      <c r="I135" s="10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7" customHeight="1">
      <c r="A136" s="7"/>
      <c r="B136" s="7"/>
      <c r="C136" s="7"/>
      <c r="D136" s="7"/>
      <c r="E136" s="7"/>
      <c r="F136" s="7"/>
      <c r="G136" s="7"/>
      <c r="H136" s="7"/>
      <c r="I136" s="10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7" customHeight="1">
      <c r="A137" s="7"/>
      <c r="B137" s="7"/>
      <c r="C137" s="7"/>
      <c r="D137" s="7"/>
      <c r="E137" s="7"/>
      <c r="F137" s="7"/>
      <c r="G137" s="7"/>
      <c r="H137" s="7"/>
      <c r="I137" s="10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7" customHeight="1">
      <c r="A138" s="7"/>
      <c r="B138" s="7"/>
      <c r="C138" s="7"/>
      <c r="D138" s="7"/>
      <c r="E138" s="7"/>
      <c r="F138" s="7"/>
      <c r="G138" s="7"/>
      <c r="H138" s="7"/>
      <c r="I138" s="10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7" customHeight="1">
      <c r="A139" s="7"/>
      <c r="B139" s="7"/>
      <c r="C139" s="7"/>
      <c r="D139" s="7"/>
      <c r="E139" s="7"/>
      <c r="F139" s="7"/>
      <c r="G139" s="7"/>
      <c r="H139" s="7"/>
      <c r="I139" s="10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7" customHeight="1">
      <c r="A140" s="7"/>
      <c r="B140" s="7"/>
      <c r="C140" s="7"/>
      <c r="D140" s="7"/>
      <c r="E140" s="7"/>
      <c r="F140" s="7"/>
      <c r="G140" s="7"/>
      <c r="H140" s="7"/>
      <c r="I140" s="10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7" customHeight="1">
      <c r="A141" s="7"/>
      <c r="B141" s="7"/>
      <c r="C141" s="7"/>
      <c r="D141" s="7"/>
      <c r="E141" s="7"/>
      <c r="F141" s="7"/>
      <c r="G141" s="7"/>
      <c r="H141" s="7"/>
      <c r="I141" s="10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7" customHeight="1">
      <c r="A142" s="7"/>
      <c r="B142" s="7"/>
      <c r="C142" s="7"/>
      <c r="D142" s="7"/>
      <c r="E142" s="7"/>
      <c r="F142" s="7"/>
      <c r="G142" s="7"/>
      <c r="H142" s="7"/>
      <c r="I142" s="10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7" customHeight="1">
      <c r="A143" s="7"/>
      <c r="B143" s="7"/>
      <c r="C143" s="7"/>
      <c r="D143" s="7"/>
      <c r="E143" s="7"/>
      <c r="F143" s="7"/>
      <c r="G143" s="7"/>
      <c r="H143" s="7"/>
      <c r="I143" s="10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7" customHeight="1">
      <c r="A144" s="7"/>
      <c r="B144" s="7"/>
      <c r="C144" s="7"/>
      <c r="D144" s="7"/>
      <c r="E144" s="7"/>
      <c r="F144" s="7"/>
      <c r="G144" s="7"/>
      <c r="H144" s="7"/>
      <c r="I144" s="10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7" customHeight="1">
      <c r="A145" s="7"/>
      <c r="B145" s="7"/>
      <c r="C145" s="7"/>
      <c r="D145" s="7"/>
      <c r="E145" s="7"/>
      <c r="F145" s="7"/>
      <c r="G145" s="7"/>
      <c r="H145" s="7"/>
      <c r="I145" s="10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7" customHeight="1">
      <c r="A146" s="7"/>
      <c r="B146" s="7"/>
      <c r="C146" s="7"/>
      <c r="D146" s="7"/>
      <c r="E146" s="7"/>
      <c r="F146" s="7"/>
      <c r="G146" s="7"/>
      <c r="H146" s="7"/>
      <c r="I146" s="10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7" customHeight="1">
      <c r="A147" s="7"/>
      <c r="B147" s="7"/>
      <c r="C147" s="7"/>
      <c r="D147" s="7"/>
      <c r="E147" s="7"/>
      <c r="F147" s="7"/>
      <c r="G147" s="7"/>
      <c r="H147" s="7"/>
      <c r="I147" s="10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7" customHeight="1">
      <c r="A148" s="7"/>
      <c r="B148" s="7"/>
      <c r="C148" s="7"/>
      <c r="D148" s="7"/>
      <c r="E148" s="7"/>
      <c r="F148" s="7"/>
      <c r="G148" s="7"/>
      <c r="H148" s="7"/>
      <c r="I148" s="10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7" customHeight="1">
      <c r="A149" s="7"/>
      <c r="B149" s="7"/>
      <c r="C149" s="7"/>
      <c r="D149" s="7"/>
      <c r="E149" s="7"/>
      <c r="F149" s="7"/>
      <c r="G149" s="7"/>
      <c r="H149" s="7"/>
      <c r="I149" s="10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7" customHeight="1">
      <c r="A150" s="7"/>
      <c r="B150" s="7"/>
      <c r="C150" s="7"/>
      <c r="D150" s="7"/>
      <c r="E150" s="7"/>
      <c r="F150" s="7"/>
      <c r="G150" s="7"/>
      <c r="H150" s="7"/>
      <c r="I150" s="10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7" customHeight="1">
      <c r="A151" s="7"/>
      <c r="B151" s="7"/>
      <c r="C151" s="7"/>
      <c r="D151" s="7"/>
      <c r="E151" s="7"/>
      <c r="F151" s="7"/>
      <c r="G151" s="7"/>
      <c r="H151" s="7"/>
      <c r="I151" s="10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7" customHeight="1">
      <c r="A152" s="7"/>
      <c r="B152" s="7"/>
      <c r="C152" s="7"/>
      <c r="D152" s="7"/>
      <c r="E152" s="7"/>
      <c r="F152" s="7"/>
      <c r="G152" s="7"/>
      <c r="H152" s="7"/>
      <c r="I152" s="10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7" customHeight="1">
      <c r="A153" s="7"/>
      <c r="B153" s="7"/>
      <c r="C153" s="7"/>
      <c r="D153" s="7"/>
      <c r="E153" s="7"/>
      <c r="F153" s="7"/>
      <c r="G153" s="7"/>
      <c r="H153" s="7"/>
      <c r="I153" s="10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7" customHeight="1">
      <c r="A154" s="7"/>
      <c r="B154" s="7"/>
      <c r="C154" s="7"/>
      <c r="D154" s="7"/>
      <c r="E154" s="7"/>
      <c r="F154" s="7"/>
      <c r="G154" s="7"/>
      <c r="H154" s="7"/>
      <c r="I154" s="10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7" customHeight="1">
      <c r="A155" s="7"/>
      <c r="B155" s="7"/>
      <c r="C155" s="7"/>
      <c r="D155" s="7"/>
      <c r="E155" s="7"/>
      <c r="F155" s="7"/>
      <c r="G155" s="7"/>
      <c r="H155" s="7"/>
      <c r="I155" s="10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7" customHeight="1">
      <c r="A156" s="7"/>
      <c r="B156" s="7"/>
      <c r="C156" s="7"/>
      <c r="D156" s="7"/>
      <c r="E156" s="7"/>
      <c r="F156" s="7"/>
      <c r="G156" s="7"/>
      <c r="H156" s="7"/>
      <c r="I156" s="10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7" customHeight="1">
      <c r="A157" s="7"/>
      <c r="B157" s="7"/>
      <c r="C157" s="7"/>
      <c r="D157" s="7"/>
      <c r="E157" s="7"/>
      <c r="F157" s="7"/>
      <c r="G157" s="7"/>
      <c r="H157" s="7"/>
      <c r="I157" s="10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7" customHeight="1">
      <c r="A158" s="7"/>
      <c r="B158" s="7"/>
      <c r="C158" s="7"/>
      <c r="D158" s="7"/>
      <c r="E158" s="7"/>
      <c r="F158" s="7"/>
      <c r="G158" s="7"/>
      <c r="H158" s="7"/>
      <c r="I158" s="10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7" customHeight="1">
      <c r="A159" s="7"/>
      <c r="B159" s="7"/>
      <c r="C159" s="7"/>
      <c r="D159" s="7"/>
      <c r="E159" s="7"/>
      <c r="F159" s="7"/>
      <c r="G159" s="7"/>
      <c r="H159" s="7"/>
      <c r="I159" s="10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7" customHeight="1">
      <c r="A160" s="7"/>
      <c r="B160" s="7"/>
      <c r="C160" s="7"/>
      <c r="D160" s="7"/>
      <c r="E160" s="7"/>
      <c r="F160" s="7"/>
      <c r="G160" s="7"/>
      <c r="H160" s="7"/>
      <c r="I160" s="10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7" customHeight="1">
      <c r="A161" s="7"/>
      <c r="B161" s="7"/>
      <c r="C161" s="7"/>
      <c r="D161" s="7"/>
      <c r="E161" s="7"/>
      <c r="F161" s="7"/>
      <c r="G161" s="7"/>
      <c r="H161" s="7"/>
      <c r="I161" s="10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7" customHeight="1">
      <c r="A162" s="7"/>
      <c r="B162" s="7"/>
      <c r="C162" s="7"/>
      <c r="D162" s="7"/>
      <c r="E162" s="7"/>
      <c r="F162" s="7"/>
      <c r="G162" s="7"/>
      <c r="H162" s="7"/>
      <c r="I162" s="10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7" customHeight="1">
      <c r="A163" s="7"/>
      <c r="B163" s="7"/>
      <c r="C163" s="7"/>
      <c r="D163" s="7"/>
      <c r="E163" s="7"/>
      <c r="F163" s="7"/>
      <c r="G163" s="7"/>
      <c r="H163" s="7"/>
      <c r="I163" s="10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7" customHeight="1">
      <c r="A164" s="7"/>
      <c r="B164" s="7"/>
      <c r="C164" s="7"/>
      <c r="D164" s="7"/>
      <c r="E164" s="7"/>
      <c r="F164" s="7"/>
      <c r="G164" s="7"/>
      <c r="H164" s="7"/>
      <c r="I164" s="10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7" customHeight="1">
      <c r="A165" s="7"/>
      <c r="B165" s="7"/>
      <c r="C165" s="7"/>
      <c r="D165" s="7"/>
      <c r="E165" s="7"/>
      <c r="F165" s="7"/>
      <c r="G165" s="7"/>
      <c r="H165" s="7"/>
      <c r="I165" s="10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7" customHeight="1">
      <c r="A166" s="7"/>
      <c r="B166" s="7"/>
      <c r="C166" s="7"/>
      <c r="D166" s="7"/>
      <c r="E166" s="7"/>
      <c r="F166" s="7"/>
      <c r="G166" s="7"/>
      <c r="H166" s="7"/>
      <c r="I166" s="10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7" customHeight="1">
      <c r="A167" s="7"/>
      <c r="B167" s="7"/>
      <c r="C167" s="7"/>
      <c r="D167" s="7"/>
      <c r="E167" s="7"/>
      <c r="F167" s="7"/>
      <c r="G167" s="7"/>
      <c r="H167" s="7"/>
      <c r="I167" s="10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7" customHeight="1">
      <c r="A168" s="7"/>
      <c r="B168" s="7"/>
      <c r="C168" s="7"/>
      <c r="D168" s="7"/>
      <c r="E168" s="7"/>
      <c r="F168" s="7"/>
      <c r="G168" s="7"/>
      <c r="H168" s="7"/>
      <c r="I168" s="10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7" customHeight="1">
      <c r="A169" s="7"/>
      <c r="B169" s="7"/>
      <c r="C169" s="7"/>
      <c r="D169" s="7"/>
      <c r="E169" s="7"/>
      <c r="F169" s="7"/>
      <c r="G169" s="7"/>
      <c r="H169" s="7"/>
      <c r="I169" s="10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7" customHeight="1">
      <c r="A170" s="7"/>
      <c r="B170" s="7"/>
      <c r="C170" s="7"/>
      <c r="D170" s="7"/>
      <c r="E170" s="7"/>
      <c r="F170" s="7"/>
      <c r="G170" s="7"/>
      <c r="H170" s="7"/>
      <c r="I170" s="10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7" customHeight="1">
      <c r="A171" s="7"/>
      <c r="B171" s="7"/>
      <c r="C171" s="7"/>
      <c r="D171" s="7"/>
      <c r="E171" s="7"/>
      <c r="F171" s="7"/>
      <c r="G171" s="7"/>
      <c r="H171" s="7"/>
      <c r="I171" s="10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7" customHeight="1">
      <c r="A172" s="7"/>
      <c r="B172" s="7"/>
      <c r="C172" s="7"/>
      <c r="D172" s="7"/>
      <c r="E172" s="7"/>
      <c r="F172" s="7"/>
      <c r="G172" s="7"/>
      <c r="H172" s="7"/>
      <c r="I172" s="10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7" customHeight="1">
      <c r="A173" s="7"/>
      <c r="B173" s="7"/>
      <c r="C173" s="7"/>
      <c r="D173" s="7"/>
      <c r="E173" s="7"/>
      <c r="F173" s="7"/>
      <c r="G173" s="7"/>
      <c r="H173" s="7"/>
      <c r="I173" s="10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7" customHeight="1">
      <c r="A174" s="7"/>
      <c r="B174" s="7"/>
      <c r="C174" s="7"/>
      <c r="D174" s="7"/>
      <c r="E174" s="7"/>
      <c r="F174" s="7"/>
      <c r="G174" s="7"/>
      <c r="H174" s="7"/>
      <c r="I174" s="10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7" customHeight="1">
      <c r="A175" s="7"/>
      <c r="B175" s="7"/>
      <c r="C175" s="7"/>
      <c r="D175" s="7"/>
      <c r="E175" s="7"/>
      <c r="F175" s="7"/>
      <c r="G175" s="7"/>
      <c r="H175" s="7"/>
      <c r="I175" s="10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7" customHeight="1">
      <c r="A176" s="7"/>
      <c r="B176" s="7"/>
      <c r="C176" s="7"/>
      <c r="D176" s="7"/>
      <c r="E176" s="7"/>
      <c r="F176" s="7"/>
      <c r="G176" s="7"/>
      <c r="H176" s="7"/>
      <c r="I176" s="10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7" customHeight="1">
      <c r="A177" s="7"/>
      <c r="B177" s="7"/>
      <c r="C177" s="7"/>
      <c r="D177" s="7"/>
      <c r="E177" s="7"/>
      <c r="F177" s="7"/>
      <c r="G177" s="7"/>
      <c r="H177" s="7"/>
      <c r="I177" s="10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7" customHeight="1">
      <c r="A178" s="7"/>
      <c r="B178" s="7"/>
      <c r="C178" s="7"/>
      <c r="D178" s="7"/>
      <c r="E178" s="7"/>
      <c r="F178" s="7"/>
      <c r="G178" s="7"/>
      <c r="H178" s="7"/>
      <c r="I178" s="10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7" customHeight="1">
      <c r="A179" s="7"/>
      <c r="B179" s="7"/>
      <c r="C179" s="7"/>
      <c r="D179" s="7"/>
      <c r="E179" s="7"/>
      <c r="F179" s="7"/>
      <c r="G179" s="7"/>
      <c r="H179" s="7"/>
      <c r="I179" s="10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7" customHeight="1">
      <c r="A180" s="7"/>
      <c r="B180" s="7"/>
      <c r="C180" s="7"/>
      <c r="D180" s="7"/>
      <c r="E180" s="7"/>
      <c r="F180" s="7"/>
      <c r="G180" s="7"/>
      <c r="H180" s="7"/>
      <c r="I180" s="10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7" customHeight="1">
      <c r="A181" s="7"/>
      <c r="B181" s="7"/>
      <c r="C181" s="7"/>
      <c r="D181" s="7"/>
      <c r="E181" s="7"/>
      <c r="F181" s="7"/>
      <c r="G181" s="7"/>
      <c r="H181" s="7"/>
      <c r="I181" s="10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7" customHeight="1">
      <c r="A182" s="7"/>
      <c r="B182" s="7"/>
      <c r="C182" s="7"/>
      <c r="D182" s="7"/>
      <c r="E182" s="7"/>
      <c r="F182" s="7"/>
      <c r="G182" s="7"/>
      <c r="H182" s="7"/>
      <c r="I182" s="10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7" customHeight="1">
      <c r="A183" s="7"/>
      <c r="B183" s="7"/>
      <c r="C183" s="7"/>
      <c r="D183" s="7"/>
      <c r="E183" s="7"/>
      <c r="F183" s="7"/>
      <c r="G183" s="7"/>
      <c r="H183" s="7"/>
      <c r="I183" s="10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7" customHeight="1">
      <c r="A184" s="7"/>
      <c r="B184" s="7"/>
      <c r="C184" s="7"/>
      <c r="D184" s="7"/>
      <c r="E184" s="7"/>
      <c r="F184" s="7"/>
      <c r="G184" s="7"/>
      <c r="H184" s="7"/>
      <c r="I184" s="10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7" customHeight="1">
      <c r="A185" s="7"/>
      <c r="B185" s="7"/>
      <c r="C185" s="7"/>
      <c r="D185" s="7"/>
      <c r="E185" s="7"/>
      <c r="F185" s="7"/>
      <c r="G185" s="7"/>
      <c r="H185" s="7"/>
      <c r="I185" s="10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7" customHeight="1">
      <c r="A186" s="7"/>
      <c r="B186" s="7"/>
      <c r="C186" s="7"/>
      <c r="D186" s="7"/>
      <c r="E186" s="7"/>
      <c r="F186" s="7"/>
      <c r="G186" s="7"/>
      <c r="H186" s="7"/>
      <c r="I186" s="10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7" customHeight="1">
      <c r="A187" s="7"/>
      <c r="B187" s="7"/>
      <c r="C187" s="7"/>
      <c r="D187" s="7"/>
      <c r="E187" s="7"/>
      <c r="F187" s="7"/>
      <c r="G187" s="7"/>
      <c r="H187" s="7"/>
      <c r="I187" s="10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7" customHeight="1">
      <c r="A188" s="7"/>
      <c r="B188" s="7"/>
      <c r="C188" s="7"/>
      <c r="D188" s="7"/>
      <c r="E188" s="7"/>
      <c r="F188" s="7"/>
      <c r="G188" s="7"/>
      <c r="H188" s="7"/>
      <c r="I188" s="10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7" customHeight="1">
      <c r="A189" s="7"/>
      <c r="B189" s="7"/>
      <c r="C189" s="7"/>
      <c r="D189" s="7"/>
      <c r="E189" s="7"/>
      <c r="F189" s="7"/>
      <c r="G189" s="7"/>
      <c r="H189" s="7"/>
      <c r="I189" s="10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7" customHeight="1">
      <c r="A190" s="7"/>
      <c r="B190" s="7"/>
      <c r="C190" s="7"/>
      <c r="D190" s="7"/>
      <c r="E190" s="7"/>
      <c r="F190" s="7"/>
      <c r="G190" s="7"/>
      <c r="H190" s="7"/>
      <c r="I190" s="10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7" customHeight="1">
      <c r="A191" s="7"/>
      <c r="B191" s="7"/>
      <c r="C191" s="7"/>
      <c r="D191" s="7"/>
      <c r="E191" s="7"/>
      <c r="F191" s="7"/>
      <c r="G191" s="7"/>
      <c r="H191" s="7"/>
      <c r="I191" s="10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7" customHeight="1">
      <c r="A192" s="7"/>
      <c r="B192" s="7"/>
      <c r="C192" s="7"/>
      <c r="D192" s="7"/>
      <c r="E192" s="7"/>
      <c r="F192" s="7"/>
      <c r="G192" s="7"/>
      <c r="H192" s="7"/>
      <c r="I192" s="10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7" customHeight="1">
      <c r="A193" s="7"/>
      <c r="B193" s="7"/>
      <c r="C193" s="7"/>
      <c r="D193" s="7"/>
      <c r="E193" s="7"/>
      <c r="F193" s="7"/>
      <c r="G193" s="7"/>
      <c r="H193" s="7"/>
      <c r="I193" s="10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7" customHeight="1">
      <c r="A194" s="7"/>
      <c r="B194" s="7"/>
      <c r="C194" s="7"/>
      <c r="D194" s="7"/>
      <c r="E194" s="7"/>
      <c r="F194" s="7"/>
      <c r="G194" s="7"/>
      <c r="H194" s="7"/>
      <c r="I194" s="10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7" customHeight="1">
      <c r="A195" s="7"/>
      <c r="B195" s="7"/>
      <c r="C195" s="7"/>
      <c r="D195" s="7"/>
      <c r="E195" s="7"/>
      <c r="F195" s="7"/>
      <c r="G195" s="7"/>
      <c r="H195" s="7"/>
      <c r="I195" s="10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7" customHeight="1">
      <c r="A196" s="7"/>
      <c r="B196" s="7"/>
      <c r="C196" s="7"/>
      <c r="D196" s="7"/>
      <c r="E196" s="7"/>
      <c r="F196" s="7"/>
      <c r="G196" s="7"/>
      <c r="H196" s="7"/>
      <c r="I196" s="10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7" customHeight="1">
      <c r="A197" s="7"/>
      <c r="B197" s="7"/>
      <c r="C197" s="7"/>
      <c r="D197" s="7"/>
      <c r="E197" s="7"/>
      <c r="F197" s="7"/>
      <c r="G197" s="7"/>
      <c r="H197" s="7"/>
      <c r="I197" s="10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7" customHeight="1">
      <c r="A198" s="7"/>
      <c r="B198" s="7"/>
      <c r="C198" s="7"/>
      <c r="D198" s="7"/>
      <c r="E198" s="7"/>
      <c r="F198" s="7"/>
      <c r="G198" s="7"/>
      <c r="H198" s="7"/>
      <c r="I198" s="10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7" customHeight="1">
      <c r="A199" s="7"/>
      <c r="B199" s="7"/>
      <c r="C199" s="7"/>
      <c r="D199" s="7"/>
      <c r="E199" s="7"/>
      <c r="F199" s="7"/>
      <c r="G199" s="7"/>
      <c r="H199" s="7"/>
      <c r="I199" s="10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7" customHeight="1">
      <c r="A200" s="7"/>
      <c r="B200" s="7"/>
      <c r="C200" s="7"/>
      <c r="D200" s="7"/>
      <c r="E200" s="7"/>
      <c r="F200" s="7"/>
      <c r="G200" s="7"/>
      <c r="H200" s="7"/>
      <c r="I200" s="10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7" customHeight="1">
      <c r="A201" s="7"/>
      <c r="B201" s="7"/>
      <c r="C201" s="7"/>
      <c r="D201" s="7"/>
      <c r="E201" s="7"/>
      <c r="F201" s="7"/>
      <c r="G201" s="7"/>
      <c r="H201" s="7"/>
      <c r="I201" s="10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7" customHeight="1">
      <c r="A202" s="7"/>
      <c r="B202" s="7"/>
      <c r="C202" s="7"/>
      <c r="D202" s="7"/>
      <c r="E202" s="7"/>
      <c r="F202" s="7"/>
      <c r="G202" s="7"/>
      <c r="H202" s="7"/>
      <c r="I202" s="10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7" customHeight="1">
      <c r="A203" s="7"/>
      <c r="B203" s="7"/>
      <c r="C203" s="7"/>
      <c r="D203" s="7"/>
      <c r="E203" s="7"/>
      <c r="F203" s="7"/>
      <c r="G203" s="7"/>
      <c r="H203" s="7"/>
      <c r="I203" s="10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7" customHeight="1">
      <c r="A204" s="7"/>
      <c r="B204" s="7"/>
      <c r="C204" s="7"/>
      <c r="D204" s="7"/>
      <c r="E204" s="7"/>
      <c r="F204" s="7"/>
      <c r="G204" s="7"/>
      <c r="H204" s="7"/>
      <c r="I204" s="10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7" customHeight="1">
      <c r="A205" s="7"/>
      <c r="B205" s="7"/>
      <c r="C205" s="7"/>
      <c r="D205" s="7"/>
      <c r="E205" s="7"/>
      <c r="F205" s="7"/>
      <c r="G205" s="7"/>
      <c r="H205" s="7"/>
      <c r="I205" s="10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7" customHeight="1">
      <c r="A206" s="7"/>
      <c r="B206" s="7"/>
      <c r="C206" s="7"/>
      <c r="D206" s="7"/>
      <c r="E206" s="7"/>
      <c r="F206" s="7"/>
      <c r="G206" s="7"/>
      <c r="H206" s="7"/>
      <c r="I206" s="10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7" customHeight="1">
      <c r="A207" s="7"/>
      <c r="B207" s="7"/>
      <c r="C207" s="7"/>
      <c r="D207" s="7"/>
      <c r="E207" s="7"/>
      <c r="F207" s="7"/>
      <c r="G207" s="7"/>
      <c r="H207" s="7"/>
      <c r="I207" s="10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7" customHeight="1">
      <c r="A208" s="7"/>
      <c r="B208" s="7"/>
      <c r="C208" s="7"/>
      <c r="D208" s="7"/>
      <c r="E208" s="7"/>
      <c r="F208" s="7"/>
      <c r="G208" s="7"/>
      <c r="H208" s="7"/>
      <c r="I208" s="10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7" customHeight="1">
      <c r="A209" s="7"/>
      <c r="B209" s="7"/>
      <c r="C209" s="7"/>
      <c r="D209" s="7"/>
      <c r="E209" s="7"/>
      <c r="F209" s="7"/>
      <c r="G209" s="7"/>
      <c r="H209" s="7"/>
      <c r="I209" s="10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7" customHeight="1">
      <c r="A210" s="7"/>
      <c r="B210" s="7"/>
      <c r="C210" s="7"/>
      <c r="D210" s="7"/>
      <c r="E210" s="7"/>
      <c r="F210" s="7"/>
      <c r="G210" s="7"/>
      <c r="H210" s="7"/>
      <c r="I210" s="10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7" customHeight="1">
      <c r="A211" s="7"/>
      <c r="B211" s="7"/>
      <c r="C211" s="7"/>
      <c r="D211" s="7"/>
      <c r="E211" s="7"/>
      <c r="F211" s="7"/>
      <c r="G211" s="7"/>
      <c r="H211" s="7"/>
      <c r="I211" s="10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7" customHeight="1">
      <c r="A212" s="7"/>
      <c r="B212" s="7"/>
      <c r="C212" s="7"/>
      <c r="D212" s="7"/>
      <c r="E212" s="7"/>
      <c r="F212" s="7"/>
      <c r="G212" s="7"/>
      <c r="H212" s="7"/>
      <c r="I212" s="10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7" customHeight="1">
      <c r="A213" s="7"/>
      <c r="B213" s="7"/>
      <c r="C213" s="7"/>
      <c r="D213" s="7"/>
      <c r="E213" s="7"/>
      <c r="F213" s="7"/>
      <c r="G213" s="7"/>
      <c r="H213" s="7"/>
      <c r="I213" s="10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7" customHeight="1">
      <c r="A214" s="7"/>
      <c r="B214" s="7"/>
      <c r="C214" s="7"/>
      <c r="D214" s="7"/>
      <c r="E214" s="7"/>
      <c r="F214" s="7"/>
      <c r="G214" s="7"/>
      <c r="H214" s="7"/>
      <c r="I214" s="10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7" customHeight="1">
      <c r="A215" s="7"/>
      <c r="B215" s="7"/>
      <c r="C215" s="7"/>
      <c r="D215" s="7"/>
      <c r="E215" s="7"/>
      <c r="F215" s="7"/>
      <c r="G215" s="7"/>
      <c r="H215" s="7"/>
      <c r="I215" s="10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7" customHeight="1">
      <c r="A216" s="7"/>
      <c r="B216" s="7"/>
      <c r="C216" s="7"/>
      <c r="D216" s="7"/>
      <c r="E216" s="7"/>
      <c r="F216" s="7"/>
      <c r="G216" s="7"/>
      <c r="H216" s="7"/>
      <c r="I216" s="10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7" customHeight="1">
      <c r="A217" s="7"/>
      <c r="B217" s="7"/>
      <c r="C217" s="7"/>
      <c r="D217" s="7"/>
      <c r="E217" s="7"/>
      <c r="F217" s="7"/>
      <c r="G217" s="7"/>
      <c r="H217" s="7"/>
      <c r="I217" s="10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7" customHeight="1">
      <c r="A218" s="7"/>
      <c r="B218" s="7"/>
      <c r="C218" s="7"/>
      <c r="D218" s="7"/>
      <c r="E218" s="7"/>
      <c r="F218" s="7"/>
      <c r="G218" s="7"/>
      <c r="H218" s="7"/>
      <c r="I218" s="10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7" customHeight="1">
      <c r="A219" s="7"/>
      <c r="B219" s="7"/>
      <c r="C219" s="7"/>
      <c r="D219" s="7"/>
      <c r="E219" s="7"/>
      <c r="F219" s="7"/>
      <c r="G219" s="7"/>
      <c r="H219" s="7"/>
      <c r="I219" s="10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7" customHeight="1">
      <c r="A220" s="7"/>
      <c r="B220" s="7"/>
      <c r="C220" s="7"/>
      <c r="D220" s="7"/>
      <c r="E220" s="7"/>
      <c r="F220" s="7"/>
      <c r="G220" s="7"/>
      <c r="H220" s="7"/>
      <c r="I220" s="10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7" customHeight="1">
      <c r="A221" s="7"/>
      <c r="B221" s="7"/>
      <c r="C221" s="7"/>
      <c r="D221" s="7"/>
      <c r="E221" s="7"/>
      <c r="F221" s="7"/>
      <c r="G221" s="7"/>
      <c r="H221" s="7"/>
      <c r="I221" s="10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7" customHeight="1">
      <c r="A222" s="7"/>
      <c r="B222" s="7"/>
      <c r="C222" s="7"/>
      <c r="D222" s="7"/>
      <c r="E222" s="7"/>
      <c r="F222" s="7"/>
      <c r="G222" s="7"/>
      <c r="H222" s="7"/>
      <c r="I222" s="10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7" customHeight="1">
      <c r="A223" s="7"/>
      <c r="B223" s="7"/>
      <c r="C223" s="7"/>
      <c r="D223" s="7"/>
      <c r="E223" s="7"/>
      <c r="F223" s="7"/>
      <c r="G223" s="7"/>
      <c r="H223" s="7"/>
      <c r="I223" s="10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7" customHeight="1">
      <c r="A224" s="7"/>
      <c r="B224" s="7"/>
      <c r="C224" s="7"/>
      <c r="D224" s="7"/>
      <c r="E224" s="7"/>
      <c r="F224" s="7"/>
      <c r="G224" s="7"/>
      <c r="H224" s="7"/>
      <c r="I224" s="10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7" customHeight="1">
      <c r="A225" s="7"/>
      <c r="B225" s="7"/>
      <c r="C225" s="7"/>
      <c r="D225" s="7"/>
      <c r="E225" s="7"/>
      <c r="F225" s="7"/>
      <c r="G225" s="7"/>
      <c r="H225" s="7"/>
      <c r="I225" s="10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7" customHeight="1">
      <c r="A226" s="7"/>
      <c r="B226" s="7"/>
      <c r="C226" s="7"/>
      <c r="D226" s="7"/>
      <c r="E226" s="7"/>
      <c r="F226" s="7"/>
      <c r="G226" s="7"/>
      <c r="H226" s="7"/>
      <c r="I226" s="10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7" customHeight="1">
      <c r="A227" s="7"/>
      <c r="B227" s="7"/>
      <c r="C227" s="7"/>
      <c r="D227" s="7"/>
      <c r="E227" s="7"/>
      <c r="F227" s="7"/>
      <c r="G227" s="7"/>
      <c r="H227" s="7"/>
      <c r="I227" s="10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7" customHeight="1">
      <c r="A228" s="7"/>
      <c r="B228" s="7"/>
      <c r="C228" s="7"/>
      <c r="D228" s="7"/>
      <c r="E228" s="7"/>
      <c r="F228" s="7"/>
      <c r="G228" s="7"/>
      <c r="H228" s="7"/>
      <c r="I228" s="10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7" customHeight="1">
      <c r="A229" s="7"/>
      <c r="B229" s="7"/>
      <c r="C229" s="7"/>
      <c r="D229" s="7"/>
      <c r="E229" s="7"/>
      <c r="F229" s="7"/>
      <c r="G229" s="7"/>
      <c r="H229" s="7"/>
      <c r="I229" s="10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7" customHeight="1">
      <c r="A230" s="7"/>
      <c r="B230" s="7"/>
      <c r="C230" s="7"/>
      <c r="D230" s="7"/>
      <c r="E230" s="7"/>
      <c r="F230" s="7"/>
      <c r="G230" s="7"/>
      <c r="H230" s="7"/>
      <c r="I230" s="10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7" customHeight="1">
      <c r="A231" s="7"/>
      <c r="B231" s="7"/>
      <c r="C231" s="7"/>
      <c r="D231" s="7"/>
      <c r="E231" s="7"/>
      <c r="F231" s="7"/>
      <c r="G231" s="7"/>
      <c r="H231" s="7"/>
      <c r="I231" s="10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7" customHeight="1">
      <c r="A232" s="7"/>
      <c r="B232" s="7"/>
      <c r="C232" s="7"/>
      <c r="D232" s="7"/>
      <c r="E232" s="7"/>
      <c r="F232" s="7"/>
      <c r="G232" s="7"/>
      <c r="H232" s="7"/>
      <c r="I232" s="10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7" customHeight="1">
      <c r="A233" s="7"/>
      <c r="B233" s="7"/>
      <c r="C233" s="7"/>
      <c r="D233" s="7"/>
      <c r="E233" s="7"/>
      <c r="F233" s="7"/>
      <c r="G233" s="7"/>
      <c r="H233" s="7"/>
      <c r="I233" s="10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7" customHeight="1">
      <c r="A234" s="7"/>
      <c r="B234" s="7"/>
      <c r="C234" s="7"/>
      <c r="D234" s="7"/>
      <c r="E234" s="7"/>
      <c r="F234" s="7"/>
      <c r="G234" s="7"/>
      <c r="H234" s="7"/>
      <c r="I234" s="10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7" customHeight="1">
      <c r="A235" s="7"/>
      <c r="B235" s="7"/>
      <c r="C235" s="7"/>
      <c r="D235" s="7"/>
      <c r="E235" s="7"/>
      <c r="F235" s="7"/>
      <c r="G235" s="7"/>
      <c r="H235" s="7"/>
      <c r="I235" s="10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7" customHeight="1">
      <c r="A236" s="7"/>
      <c r="B236" s="7"/>
      <c r="C236" s="7"/>
      <c r="D236" s="7"/>
      <c r="E236" s="7"/>
      <c r="F236" s="7"/>
      <c r="G236" s="7"/>
      <c r="H236" s="7"/>
      <c r="I236" s="10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7" customHeight="1">
      <c r="A237" s="7"/>
      <c r="B237" s="7"/>
      <c r="C237" s="7"/>
      <c r="D237" s="7"/>
      <c r="E237" s="7"/>
      <c r="F237" s="7"/>
      <c r="G237" s="7"/>
      <c r="H237" s="7"/>
      <c r="I237" s="10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7" customHeight="1">
      <c r="A238" s="7"/>
      <c r="B238" s="7"/>
      <c r="C238" s="7"/>
      <c r="D238" s="7"/>
      <c r="E238" s="7"/>
      <c r="F238" s="7"/>
      <c r="G238" s="7"/>
      <c r="H238" s="7"/>
      <c r="I238" s="10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7" customHeight="1">
      <c r="A239" s="7"/>
      <c r="B239" s="7"/>
      <c r="C239" s="7"/>
      <c r="D239" s="7"/>
      <c r="E239" s="7"/>
      <c r="F239" s="7"/>
      <c r="G239" s="7"/>
      <c r="H239" s="7"/>
      <c r="I239" s="10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7" customHeight="1">
      <c r="A240" s="7"/>
      <c r="B240" s="7"/>
      <c r="C240" s="7"/>
      <c r="D240" s="7"/>
      <c r="E240" s="7"/>
      <c r="F240" s="7"/>
      <c r="G240" s="7"/>
      <c r="H240" s="7"/>
      <c r="I240" s="10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7" customHeight="1">
      <c r="A241" s="7"/>
      <c r="B241" s="7"/>
      <c r="C241" s="7"/>
      <c r="D241" s="7"/>
      <c r="E241" s="7"/>
      <c r="F241" s="7"/>
      <c r="G241" s="7"/>
      <c r="H241" s="7"/>
      <c r="I241" s="10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7" customHeight="1">
      <c r="A242" s="7"/>
      <c r="B242" s="7"/>
      <c r="C242" s="7"/>
      <c r="D242" s="7"/>
      <c r="E242" s="7"/>
      <c r="F242" s="7"/>
      <c r="G242" s="7"/>
      <c r="H242" s="7"/>
      <c r="I242" s="10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7" customHeight="1">
      <c r="A243" s="7"/>
      <c r="B243" s="7"/>
      <c r="C243" s="7"/>
      <c r="D243" s="7"/>
      <c r="E243" s="7"/>
      <c r="F243" s="7"/>
      <c r="G243" s="7"/>
      <c r="H243" s="7"/>
      <c r="I243" s="10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7" customHeight="1">
      <c r="A244" s="7"/>
      <c r="B244" s="7"/>
      <c r="C244" s="7"/>
      <c r="D244" s="7"/>
      <c r="E244" s="7"/>
      <c r="F244" s="7"/>
      <c r="G244" s="7"/>
      <c r="H244" s="7"/>
      <c r="I244" s="10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7" customHeight="1">
      <c r="A245" s="7"/>
      <c r="B245" s="7"/>
      <c r="C245" s="7"/>
      <c r="D245" s="7"/>
      <c r="E245" s="7"/>
      <c r="F245" s="7"/>
      <c r="G245" s="7"/>
      <c r="H245" s="7"/>
      <c r="I245" s="10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7" customHeight="1">
      <c r="A246" s="7"/>
      <c r="B246" s="7"/>
      <c r="C246" s="7"/>
      <c r="D246" s="7"/>
      <c r="E246" s="7"/>
      <c r="F246" s="7"/>
      <c r="G246" s="7"/>
      <c r="H246" s="7"/>
      <c r="I246" s="10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7" customHeight="1">
      <c r="A247" s="7"/>
      <c r="B247" s="7"/>
      <c r="C247" s="7"/>
      <c r="D247" s="7"/>
      <c r="E247" s="7"/>
      <c r="F247" s="7"/>
      <c r="G247" s="7"/>
      <c r="H247" s="7"/>
      <c r="I247" s="10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7" customHeight="1">
      <c r="A248" s="7"/>
      <c r="B248" s="7"/>
      <c r="C248" s="7"/>
      <c r="D248" s="7"/>
      <c r="E248" s="7"/>
      <c r="F248" s="7"/>
      <c r="G248" s="7"/>
      <c r="H248" s="7"/>
      <c r="I248" s="10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7" customHeight="1">
      <c r="A249" s="7"/>
      <c r="B249" s="7"/>
      <c r="C249" s="7"/>
      <c r="D249" s="7"/>
      <c r="E249" s="7"/>
      <c r="F249" s="7"/>
      <c r="G249" s="7"/>
      <c r="H249" s="7"/>
      <c r="I249" s="10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7" customHeight="1">
      <c r="A250" s="7"/>
      <c r="B250" s="7"/>
      <c r="C250" s="7"/>
      <c r="D250" s="7"/>
      <c r="E250" s="7"/>
      <c r="F250" s="7"/>
      <c r="G250" s="7"/>
      <c r="H250" s="7"/>
      <c r="I250" s="10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7" customHeight="1">
      <c r="A251" s="7"/>
      <c r="B251" s="7"/>
      <c r="C251" s="7"/>
      <c r="D251" s="7"/>
      <c r="E251" s="7"/>
      <c r="F251" s="7"/>
      <c r="G251" s="7"/>
      <c r="H251" s="7"/>
      <c r="I251" s="10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7" customHeight="1">
      <c r="A252" s="7"/>
      <c r="B252" s="7"/>
      <c r="C252" s="7"/>
      <c r="D252" s="7"/>
      <c r="E252" s="7"/>
      <c r="F252" s="7"/>
      <c r="G252" s="7"/>
      <c r="H252" s="7"/>
      <c r="I252" s="10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7" customHeight="1">
      <c r="A253" s="7"/>
      <c r="B253" s="7"/>
      <c r="C253" s="7"/>
      <c r="D253" s="7"/>
      <c r="E253" s="7"/>
      <c r="F253" s="7"/>
      <c r="G253" s="7"/>
      <c r="H253" s="7"/>
      <c r="I253" s="10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7" customHeight="1">
      <c r="A254" s="7"/>
      <c r="B254" s="7"/>
      <c r="C254" s="7"/>
      <c r="D254" s="7"/>
      <c r="E254" s="7"/>
      <c r="F254" s="7"/>
      <c r="G254" s="7"/>
      <c r="H254" s="7"/>
      <c r="I254" s="10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7" customHeight="1">
      <c r="A255" s="7"/>
      <c r="B255" s="7"/>
      <c r="C255" s="7"/>
      <c r="D255" s="7"/>
      <c r="E255" s="7"/>
      <c r="F255" s="7"/>
      <c r="G255" s="7"/>
      <c r="H255" s="7"/>
      <c r="I255" s="10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7" customHeight="1">
      <c r="A256" s="7"/>
      <c r="B256" s="7"/>
      <c r="C256" s="7"/>
      <c r="D256" s="7"/>
      <c r="E256" s="7"/>
      <c r="F256" s="7"/>
      <c r="G256" s="7"/>
      <c r="H256" s="7"/>
      <c r="I256" s="10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7" customHeight="1">
      <c r="A257" s="7"/>
      <c r="B257" s="7"/>
      <c r="C257" s="7"/>
      <c r="D257" s="7"/>
      <c r="E257" s="7"/>
      <c r="F257" s="7"/>
      <c r="G257" s="7"/>
      <c r="H257" s="7"/>
      <c r="I257" s="10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7" customHeight="1">
      <c r="A258" s="7"/>
      <c r="B258" s="7"/>
      <c r="C258" s="7"/>
      <c r="D258" s="7"/>
      <c r="E258" s="7"/>
      <c r="F258" s="7"/>
      <c r="G258" s="7"/>
      <c r="H258" s="7"/>
      <c r="I258" s="10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7" customHeight="1">
      <c r="A259" s="7"/>
      <c r="B259" s="7"/>
      <c r="C259" s="7"/>
      <c r="D259" s="7"/>
      <c r="E259" s="7"/>
      <c r="F259" s="7"/>
      <c r="G259" s="7"/>
      <c r="H259" s="7"/>
      <c r="I259" s="10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7" customHeight="1">
      <c r="A260" s="7"/>
      <c r="B260" s="7"/>
      <c r="C260" s="7"/>
      <c r="D260" s="7"/>
      <c r="E260" s="7"/>
      <c r="F260" s="7"/>
      <c r="G260" s="7"/>
      <c r="H260" s="7"/>
      <c r="I260" s="10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7" customHeight="1">
      <c r="A261" s="7"/>
      <c r="B261" s="7"/>
      <c r="C261" s="7"/>
      <c r="D261" s="7"/>
      <c r="E261" s="7"/>
      <c r="F261" s="7"/>
      <c r="G261" s="7"/>
      <c r="H261" s="7"/>
      <c r="I261" s="10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7" customHeight="1">
      <c r="A262" s="7"/>
      <c r="B262" s="7"/>
      <c r="C262" s="7"/>
      <c r="D262" s="7"/>
      <c r="E262" s="7"/>
      <c r="F262" s="7"/>
      <c r="G262" s="7"/>
      <c r="H262" s="7"/>
      <c r="I262" s="10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7" customHeight="1">
      <c r="A263" s="7"/>
      <c r="B263" s="7"/>
      <c r="C263" s="7"/>
      <c r="D263" s="7"/>
      <c r="E263" s="7"/>
      <c r="F263" s="7"/>
      <c r="G263" s="7"/>
      <c r="H263" s="7"/>
      <c r="I263" s="10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7" customHeight="1">
      <c r="A264" s="7"/>
      <c r="B264" s="7"/>
      <c r="C264" s="7"/>
      <c r="D264" s="7"/>
      <c r="E264" s="7"/>
      <c r="F264" s="7"/>
      <c r="G264" s="7"/>
      <c r="H264" s="7"/>
      <c r="I264" s="10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7" customHeight="1">
      <c r="A265" s="7"/>
      <c r="B265" s="7"/>
      <c r="C265" s="7"/>
      <c r="D265" s="7"/>
      <c r="E265" s="7"/>
      <c r="F265" s="7"/>
      <c r="G265" s="7"/>
      <c r="H265" s="7"/>
      <c r="I265" s="10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7" customHeight="1">
      <c r="A266" s="7"/>
      <c r="B266" s="7"/>
      <c r="C266" s="7"/>
      <c r="D266" s="7"/>
      <c r="E266" s="7"/>
      <c r="F266" s="7"/>
      <c r="G266" s="7"/>
      <c r="H266" s="7"/>
      <c r="I266" s="10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7" customHeight="1">
      <c r="A267" s="7"/>
      <c r="B267" s="7"/>
      <c r="C267" s="7"/>
      <c r="D267" s="7"/>
      <c r="E267" s="7"/>
      <c r="F267" s="7"/>
      <c r="G267" s="7"/>
      <c r="H267" s="7"/>
      <c r="I267" s="10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7" customHeight="1">
      <c r="A268" s="7"/>
      <c r="B268" s="7"/>
      <c r="C268" s="7"/>
      <c r="D268" s="7"/>
      <c r="E268" s="7"/>
      <c r="F268" s="7"/>
      <c r="G268" s="7"/>
      <c r="H268" s="7"/>
      <c r="I268" s="10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7" customHeight="1">
      <c r="A269" s="7"/>
      <c r="B269" s="7"/>
      <c r="C269" s="7"/>
      <c r="D269" s="7"/>
      <c r="E269" s="7"/>
      <c r="F269" s="7"/>
      <c r="G269" s="7"/>
      <c r="H269" s="7"/>
      <c r="I269" s="10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7" customHeight="1">
      <c r="A270" s="7"/>
      <c r="B270" s="7"/>
      <c r="C270" s="7"/>
      <c r="D270" s="7"/>
      <c r="E270" s="7"/>
      <c r="F270" s="7"/>
      <c r="G270" s="7"/>
      <c r="H270" s="7"/>
      <c r="I270" s="10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7" customHeight="1">
      <c r="A271" s="7"/>
      <c r="B271" s="7"/>
      <c r="C271" s="7"/>
      <c r="D271" s="7"/>
      <c r="E271" s="7"/>
      <c r="F271" s="7"/>
      <c r="G271" s="7"/>
      <c r="H271" s="7"/>
      <c r="I271" s="10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7" customHeight="1">
      <c r="A272" s="7"/>
      <c r="B272" s="7"/>
      <c r="C272" s="7"/>
      <c r="D272" s="7"/>
      <c r="E272" s="7"/>
      <c r="F272" s="7"/>
      <c r="G272" s="7"/>
      <c r="H272" s="7"/>
      <c r="I272" s="10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7" customHeight="1">
      <c r="A273" s="7"/>
      <c r="B273" s="7"/>
      <c r="C273" s="7"/>
      <c r="D273" s="7"/>
      <c r="E273" s="7"/>
      <c r="F273" s="7"/>
      <c r="G273" s="7"/>
      <c r="H273" s="7"/>
      <c r="I273" s="10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7" customHeight="1">
      <c r="A274" s="7"/>
      <c r="B274" s="7"/>
      <c r="C274" s="7"/>
      <c r="D274" s="7"/>
      <c r="E274" s="7"/>
      <c r="F274" s="7"/>
      <c r="G274" s="7"/>
      <c r="H274" s="7"/>
      <c r="I274" s="10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7" customHeight="1">
      <c r="A275" s="7"/>
      <c r="B275" s="7"/>
      <c r="C275" s="7"/>
      <c r="D275" s="7"/>
      <c r="E275" s="7"/>
      <c r="F275" s="7"/>
      <c r="G275" s="7"/>
      <c r="H275" s="7"/>
      <c r="I275" s="10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7" customHeight="1">
      <c r="A276" s="7"/>
      <c r="B276" s="7"/>
      <c r="C276" s="7"/>
      <c r="D276" s="7"/>
      <c r="E276" s="7"/>
      <c r="F276" s="7"/>
      <c r="G276" s="7"/>
      <c r="H276" s="7"/>
      <c r="I276" s="10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7" customHeight="1">
      <c r="A277" s="7"/>
      <c r="B277" s="7"/>
      <c r="C277" s="7"/>
      <c r="D277" s="7"/>
      <c r="E277" s="7"/>
      <c r="F277" s="7"/>
      <c r="G277" s="7"/>
      <c r="H277" s="7"/>
      <c r="I277" s="10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7" customHeight="1">
      <c r="A278" s="7"/>
      <c r="B278" s="7"/>
      <c r="C278" s="7"/>
      <c r="D278" s="7"/>
      <c r="E278" s="7"/>
      <c r="F278" s="7"/>
      <c r="G278" s="7"/>
      <c r="H278" s="7"/>
      <c r="I278" s="10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7" customHeight="1">
      <c r="A279" s="7"/>
      <c r="B279" s="7"/>
      <c r="C279" s="7"/>
      <c r="D279" s="7"/>
      <c r="E279" s="7"/>
      <c r="F279" s="7"/>
      <c r="G279" s="7"/>
      <c r="H279" s="7"/>
      <c r="I279" s="10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7" customHeight="1">
      <c r="A280" s="7"/>
      <c r="B280" s="7"/>
      <c r="C280" s="7"/>
      <c r="D280" s="7"/>
      <c r="E280" s="7"/>
      <c r="F280" s="7"/>
      <c r="G280" s="7"/>
      <c r="H280" s="7"/>
      <c r="I280" s="10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7" customHeight="1">
      <c r="A281" s="7"/>
      <c r="B281" s="7"/>
      <c r="C281" s="7"/>
      <c r="D281" s="7"/>
      <c r="E281" s="7"/>
      <c r="F281" s="7"/>
      <c r="G281" s="7"/>
      <c r="H281" s="7"/>
      <c r="I281" s="10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7" customHeight="1">
      <c r="A282" s="7"/>
      <c r="B282" s="7"/>
      <c r="C282" s="7"/>
      <c r="D282" s="7"/>
      <c r="E282" s="7"/>
      <c r="F282" s="7"/>
      <c r="G282" s="7"/>
      <c r="H282" s="7"/>
      <c r="I282" s="10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7" customHeight="1">
      <c r="A283" s="7"/>
      <c r="B283" s="7"/>
      <c r="C283" s="7"/>
      <c r="D283" s="7"/>
      <c r="E283" s="7"/>
      <c r="F283" s="7"/>
      <c r="G283" s="7"/>
      <c r="H283" s="7"/>
      <c r="I283" s="10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7" customHeight="1">
      <c r="A284" s="7"/>
      <c r="B284" s="7"/>
      <c r="C284" s="7"/>
      <c r="D284" s="7"/>
      <c r="E284" s="7"/>
      <c r="F284" s="7"/>
      <c r="G284" s="7"/>
      <c r="H284" s="7"/>
      <c r="I284" s="10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7" customHeight="1">
      <c r="A285" s="7"/>
      <c r="B285" s="7"/>
      <c r="C285" s="7"/>
      <c r="D285" s="7"/>
      <c r="E285" s="7"/>
      <c r="F285" s="7"/>
      <c r="G285" s="7"/>
      <c r="H285" s="7"/>
      <c r="I285" s="10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7" customHeight="1">
      <c r="A286" s="7"/>
      <c r="B286" s="7"/>
      <c r="C286" s="7"/>
      <c r="D286" s="7"/>
      <c r="E286" s="7"/>
      <c r="F286" s="7"/>
      <c r="G286" s="7"/>
      <c r="H286" s="7"/>
      <c r="I286" s="10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7" customHeight="1">
      <c r="A287" s="7"/>
      <c r="B287" s="7"/>
      <c r="C287" s="7"/>
      <c r="D287" s="7"/>
      <c r="E287" s="7"/>
      <c r="F287" s="7"/>
      <c r="G287" s="7"/>
      <c r="H287" s="7"/>
      <c r="I287" s="10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7" customHeight="1">
      <c r="A288" s="7"/>
      <c r="B288" s="7"/>
      <c r="C288" s="7"/>
      <c r="D288" s="7"/>
      <c r="E288" s="7"/>
      <c r="F288" s="7"/>
      <c r="G288" s="7"/>
      <c r="H288" s="7"/>
      <c r="I288" s="10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7" customHeight="1">
      <c r="A289" s="7"/>
      <c r="B289" s="7"/>
      <c r="C289" s="7"/>
      <c r="D289" s="7"/>
      <c r="E289" s="7"/>
      <c r="F289" s="7"/>
      <c r="G289" s="7"/>
      <c r="H289" s="7"/>
      <c r="I289" s="10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7" customHeight="1">
      <c r="A290" s="7"/>
      <c r="B290" s="7"/>
      <c r="C290" s="7"/>
      <c r="D290" s="7"/>
      <c r="E290" s="7"/>
      <c r="F290" s="7"/>
      <c r="G290" s="7"/>
      <c r="H290" s="7"/>
      <c r="I290" s="10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7" customHeight="1">
      <c r="A291" s="7"/>
      <c r="B291" s="7"/>
      <c r="C291" s="7"/>
      <c r="D291" s="7"/>
      <c r="E291" s="7"/>
      <c r="F291" s="7"/>
      <c r="G291" s="7"/>
      <c r="H291" s="7"/>
      <c r="I291" s="10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7" customHeight="1">
      <c r="A292" s="7"/>
      <c r="B292" s="7"/>
      <c r="C292" s="7"/>
      <c r="D292" s="7"/>
      <c r="E292" s="7"/>
      <c r="F292" s="7"/>
      <c r="G292" s="7"/>
      <c r="H292" s="7"/>
      <c r="I292" s="10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7" customHeight="1">
      <c r="A293" s="7"/>
      <c r="B293" s="7"/>
      <c r="C293" s="7"/>
      <c r="D293" s="7"/>
      <c r="E293" s="7"/>
      <c r="F293" s="7"/>
      <c r="G293" s="7"/>
      <c r="H293" s="7"/>
      <c r="I293" s="10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7" customHeight="1">
      <c r="A294" s="7"/>
      <c r="B294" s="7"/>
      <c r="C294" s="7"/>
      <c r="D294" s="7"/>
      <c r="E294" s="7"/>
      <c r="F294" s="7"/>
      <c r="G294" s="7"/>
      <c r="H294" s="7"/>
      <c r="I294" s="10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7" customHeight="1">
      <c r="A295" s="7"/>
      <c r="B295" s="7"/>
      <c r="C295" s="7"/>
      <c r="D295" s="7"/>
      <c r="E295" s="7"/>
      <c r="F295" s="7"/>
      <c r="G295" s="7"/>
      <c r="H295" s="7"/>
      <c r="I295" s="10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7" customHeight="1">
      <c r="A296" s="7"/>
      <c r="B296" s="7"/>
      <c r="C296" s="7"/>
      <c r="D296" s="7"/>
      <c r="E296" s="7"/>
      <c r="F296" s="7"/>
      <c r="G296" s="7"/>
      <c r="H296" s="7"/>
      <c r="I296" s="10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7" customHeight="1">
      <c r="A297" s="7"/>
      <c r="B297" s="7"/>
      <c r="C297" s="7"/>
      <c r="D297" s="7"/>
      <c r="E297" s="7"/>
      <c r="F297" s="7"/>
      <c r="G297" s="7"/>
      <c r="H297" s="7"/>
      <c r="I297" s="10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7" customHeight="1">
      <c r="A298" s="7"/>
      <c r="B298" s="7"/>
      <c r="C298" s="7"/>
      <c r="D298" s="7"/>
      <c r="E298" s="7"/>
      <c r="F298" s="7"/>
      <c r="G298" s="7"/>
      <c r="H298" s="7"/>
      <c r="I298" s="10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7" customHeight="1">
      <c r="A299" s="7"/>
      <c r="B299" s="7"/>
      <c r="C299" s="7"/>
      <c r="D299" s="7"/>
      <c r="E299" s="7"/>
      <c r="F299" s="7"/>
      <c r="G299" s="7"/>
      <c r="H299" s="7"/>
      <c r="I299" s="10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7" customHeight="1">
      <c r="A300" s="7"/>
      <c r="B300" s="7"/>
      <c r="C300" s="7"/>
      <c r="D300" s="7"/>
      <c r="E300" s="7"/>
      <c r="F300" s="7"/>
      <c r="G300" s="7"/>
      <c r="H300" s="7"/>
      <c r="I300" s="10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7" customHeight="1">
      <c r="A301" s="7"/>
      <c r="B301" s="7"/>
      <c r="C301" s="7"/>
      <c r="D301" s="7"/>
      <c r="E301" s="7"/>
      <c r="F301" s="7"/>
      <c r="G301" s="7"/>
      <c r="H301" s="7"/>
      <c r="I301" s="10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7" customHeight="1">
      <c r="A302" s="7"/>
      <c r="B302" s="7"/>
      <c r="C302" s="7"/>
      <c r="D302" s="7"/>
      <c r="E302" s="7"/>
      <c r="F302" s="7"/>
      <c r="G302" s="7"/>
      <c r="H302" s="7"/>
      <c r="I302" s="10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7" customHeight="1">
      <c r="A303" s="7"/>
      <c r="B303" s="7"/>
      <c r="C303" s="7"/>
      <c r="D303" s="7"/>
      <c r="E303" s="7"/>
      <c r="F303" s="7"/>
      <c r="G303" s="7"/>
      <c r="H303" s="7"/>
      <c r="I303" s="10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7" customHeight="1">
      <c r="A304" s="7"/>
      <c r="B304" s="7"/>
      <c r="C304" s="7"/>
      <c r="D304" s="7"/>
      <c r="E304" s="7"/>
      <c r="F304" s="7"/>
      <c r="G304" s="7"/>
      <c r="H304" s="7"/>
      <c r="I304" s="10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7" customHeight="1">
      <c r="A305" s="7"/>
      <c r="B305" s="7"/>
      <c r="C305" s="7"/>
      <c r="D305" s="7"/>
      <c r="E305" s="7"/>
      <c r="F305" s="7"/>
      <c r="G305" s="7"/>
      <c r="H305" s="7"/>
      <c r="I305" s="10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7" customHeight="1">
      <c r="A306" s="7"/>
      <c r="B306" s="7"/>
      <c r="C306" s="7"/>
      <c r="D306" s="7"/>
      <c r="E306" s="7"/>
      <c r="F306" s="7"/>
      <c r="G306" s="7"/>
      <c r="H306" s="7"/>
      <c r="I306" s="10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7" customHeight="1">
      <c r="A307" s="7"/>
      <c r="B307" s="7"/>
      <c r="C307" s="7"/>
      <c r="D307" s="7"/>
      <c r="E307" s="7"/>
      <c r="F307" s="7"/>
      <c r="G307" s="7"/>
      <c r="H307" s="7"/>
      <c r="I307" s="10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7" customHeight="1">
      <c r="A308" s="7"/>
      <c r="B308" s="7"/>
      <c r="C308" s="7"/>
      <c r="D308" s="7"/>
      <c r="E308" s="7"/>
      <c r="F308" s="7"/>
      <c r="G308" s="7"/>
      <c r="H308" s="7"/>
      <c r="I308" s="10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7" customHeight="1">
      <c r="A309" s="7"/>
      <c r="B309" s="7"/>
      <c r="C309" s="7"/>
      <c r="D309" s="7"/>
      <c r="E309" s="7"/>
      <c r="F309" s="7"/>
      <c r="G309" s="7"/>
      <c r="H309" s="7"/>
      <c r="I309" s="10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7" customHeight="1">
      <c r="A310" s="7"/>
      <c r="B310" s="7"/>
      <c r="C310" s="7"/>
      <c r="D310" s="7"/>
      <c r="E310" s="7"/>
      <c r="F310" s="7"/>
      <c r="G310" s="7"/>
      <c r="H310" s="7"/>
      <c r="I310" s="10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7" customHeight="1">
      <c r="A311" s="7"/>
      <c r="B311" s="7"/>
      <c r="C311" s="7"/>
      <c r="D311" s="7"/>
      <c r="E311" s="7"/>
      <c r="F311" s="7"/>
      <c r="G311" s="7"/>
      <c r="H311" s="7"/>
      <c r="I311" s="10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7" customHeight="1">
      <c r="A312" s="7"/>
      <c r="B312" s="7"/>
      <c r="C312" s="7"/>
      <c r="D312" s="7"/>
      <c r="E312" s="7"/>
      <c r="F312" s="7"/>
      <c r="G312" s="7"/>
      <c r="H312" s="7"/>
      <c r="I312" s="10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7" customHeight="1">
      <c r="A313" s="7"/>
      <c r="B313" s="7"/>
      <c r="C313" s="7"/>
      <c r="D313" s="7"/>
      <c r="E313" s="7"/>
      <c r="F313" s="7"/>
      <c r="G313" s="7"/>
      <c r="H313" s="7"/>
      <c r="I313" s="10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7" customHeight="1">
      <c r="A314" s="7"/>
      <c r="B314" s="7"/>
      <c r="C314" s="7"/>
      <c r="D314" s="7"/>
      <c r="E314" s="7"/>
      <c r="F314" s="7"/>
      <c r="G314" s="7"/>
      <c r="H314" s="7"/>
      <c r="I314" s="10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7" customHeight="1">
      <c r="A315" s="7"/>
      <c r="B315" s="7"/>
      <c r="C315" s="7"/>
      <c r="D315" s="7"/>
      <c r="E315" s="7"/>
      <c r="F315" s="7"/>
      <c r="G315" s="7"/>
      <c r="H315" s="7"/>
      <c r="I315" s="10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7" customHeight="1">
      <c r="A316" s="7"/>
      <c r="B316" s="7"/>
      <c r="C316" s="7"/>
      <c r="D316" s="7"/>
      <c r="E316" s="7"/>
      <c r="F316" s="7"/>
      <c r="G316" s="7"/>
      <c r="H316" s="7"/>
      <c r="I316" s="10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7" customHeight="1">
      <c r="A317" s="7"/>
      <c r="B317" s="7"/>
      <c r="C317" s="7"/>
      <c r="D317" s="7"/>
      <c r="E317" s="7"/>
      <c r="F317" s="7"/>
      <c r="G317" s="7"/>
      <c r="H317" s="7"/>
      <c r="I317" s="10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7" customHeight="1">
      <c r="A318" s="7"/>
      <c r="B318" s="7"/>
      <c r="C318" s="7"/>
      <c r="D318" s="7"/>
      <c r="E318" s="7"/>
      <c r="F318" s="7"/>
      <c r="G318" s="7"/>
      <c r="H318" s="7"/>
      <c r="I318" s="10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7" customHeight="1">
      <c r="A319" s="7"/>
      <c r="B319" s="7"/>
      <c r="C319" s="7"/>
      <c r="D319" s="7"/>
      <c r="E319" s="7"/>
      <c r="F319" s="7"/>
      <c r="G319" s="7"/>
      <c r="H319" s="7"/>
      <c r="I319" s="10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7" customHeight="1">
      <c r="A320" s="7"/>
      <c r="B320" s="7"/>
      <c r="C320" s="7"/>
      <c r="D320" s="7"/>
      <c r="E320" s="7"/>
      <c r="F320" s="7"/>
      <c r="G320" s="7"/>
      <c r="H320" s="7"/>
      <c r="I320" s="10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7" customHeight="1">
      <c r="A321" s="7"/>
      <c r="B321" s="7"/>
      <c r="C321" s="7"/>
      <c r="D321" s="7"/>
      <c r="E321" s="7"/>
      <c r="F321" s="7"/>
      <c r="G321" s="7"/>
      <c r="H321" s="7"/>
      <c r="I321" s="10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7" customHeight="1">
      <c r="A322" s="7"/>
      <c r="B322" s="7"/>
      <c r="C322" s="7"/>
      <c r="D322" s="7"/>
      <c r="E322" s="7"/>
      <c r="F322" s="7"/>
      <c r="G322" s="7"/>
      <c r="H322" s="7"/>
      <c r="I322" s="10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7" customHeight="1">
      <c r="A323" s="7"/>
      <c r="B323" s="7"/>
      <c r="C323" s="7"/>
      <c r="D323" s="7"/>
      <c r="E323" s="7"/>
      <c r="F323" s="7"/>
      <c r="G323" s="7"/>
      <c r="H323" s="7"/>
      <c r="I323" s="10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7" customHeight="1">
      <c r="A324" s="7"/>
      <c r="B324" s="7"/>
      <c r="C324" s="7"/>
      <c r="D324" s="7"/>
      <c r="E324" s="7"/>
      <c r="F324" s="7"/>
      <c r="G324" s="7"/>
      <c r="H324" s="7"/>
      <c r="I324" s="10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7" customHeight="1">
      <c r="A325" s="7"/>
      <c r="B325" s="7"/>
      <c r="C325" s="7"/>
      <c r="D325" s="7"/>
      <c r="E325" s="7"/>
      <c r="F325" s="7"/>
      <c r="G325" s="7"/>
      <c r="H325" s="7"/>
      <c r="I325" s="10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7" customHeight="1">
      <c r="A326" s="7"/>
      <c r="B326" s="7"/>
      <c r="C326" s="7"/>
      <c r="D326" s="7"/>
      <c r="E326" s="7"/>
      <c r="F326" s="7"/>
      <c r="G326" s="7"/>
      <c r="H326" s="7"/>
      <c r="I326" s="10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7" customHeight="1">
      <c r="A327" s="7"/>
      <c r="B327" s="7"/>
      <c r="C327" s="7"/>
      <c r="D327" s="7"/>
      <c r="E327" s="7"/>
      <c r="F327" s="7"/>
      <c r="G327" s="7"/>
      <c r="H327" s="7"/>
      <c r="I327" s="10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7" customHeight="1">
      <c r="A328" s="7"/>
      <c r="B328" s="7"/>
      <c r="C328" s="7"/>
      <c r="D328" s="7"/>
      <c r="E328" s="7"/>
      <c r="F328" s="7"/>
      <c r="G328" s="7"/>
      <c r="H328" s="7"/>
      <c r="I328" s="10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7" customHeight="1">
      <c r="A329" s="7"/>
      <c r="B329" s="7"/>
      <c r="C329" s="7"/>
      <c r="D329" s="7"/>
      <c r="E329" s="7"/>
      <c r="F329" s="7"/>
      <c r="G329" s="7"/>
      <c r="H329" s="7"/>
      <c r="I329" s="10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7" customHeight="1">
      <c r="A330" s="7"/>
      <c r="B330" s="7"/>
      <c r="C330" s="7"/>
      <c r="D330" s="7"/>
      <c r="E330" s="7"/>
      <c r="F330" s="7"/>
      <c r="G330" s="7"/>
      <c r="H330" s="7"/>
      <c r="I330" s="10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7" customHeight="1">
      <c r="A331" s="7"/>
      <c r="B331" s="7"/>
      <c r="C331" s="7"/>
      <c r="D331" s="7"/>
      <c r="E331" s="7"/>
      <c r="F331" s="7"/>
      <c r="G331" s="7"/>
      <c r="H331" s="7"/>
      <c r="I331" s="10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7" customHeight="1">
      <c r="A332" s="7"/>
      <c r="B332" s="7"/>
      <c r="C332" s="7"/>
      <c r="D332" s="7"/>
      <c r="E332" s="7"/>
      <c r="F332" s="7"/>
      <c r="G332" s="7"/>
      <c r="H332" s="7"/>
      <c r="I332" s="10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7" customHeight="1">
      <c r="A333" s="7"/>
      <c r="B333" s="7"/>
      <c r="C333" s="7"/>
      <c r="D333" s="7"/>
      <c r="E333" s="7"/>
      <c r="F333" s="7"/>
      <c r="G333" s="7"/>
      <c r="H333" s="7"/>
      <c r="I333" s="10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7" customHeight="1">
      <c r="A334" s="7"/>
      <c r="B334" s="7"/>
      <c r="C334" s="7"/>
      <c r="D334" s="7"/>
      <c r="E334" s="7"/>
      <c r="F334" s="7"/>
      <c r="G334" s="7"/>
      <c r="H334" s="7"/>
      <c r="I334" s="10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7" customHeight="1">
      <c r="A335" s="7"/>
      <c r="B335" s="7"/>
      <c r="C335" s="7"/>
      <c r="D335" s="7"/>
      <c r="E335" s="7"/>
      <c r="F335" s="7"/>
      <c r="G335" s="7"/>
      <c r="H335" s="7"/>
      <c r="I335" s="10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7" customHeight="1">
      <c r="A336" s="7"/>
      <c r="B336" s="7"/>
      <c r="C336" s="7"/>
      <c r="D336" s="7"/>
      <c r="E336" s="7"/>
      <c r="F336" s="7"/>
      <c r="G336" s="7"/>
      <c r="H336" s="7"/>
      <c r="I336" s="10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7" customHeight="1">
      <c r="A337" s="7"/>
      <c r="B337" s="7"/>
      <c r="C337" s="7"/>
      <c r="D337" s="7"/>
      <c r="E337" s="7"/>
      <c r="F337" s="7"/>
      <c r="G337" s="7"/>
      <c r="H337" s="7"/>
      <c r="I337" s="10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7" customHeight="1">
      <c r="A338" s="7"/>
      <c r="B338" s="7"/>
      <c r="C338" s="7"/>
      <c r="D338" s="7"/>
      <c r="E338" s="7"/>
      <c r="F338" s="7"/>
      <c r="G338" s="7"/>
      <c r="H338" s="7"/>
      <c r="I338" s="10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7" customHeight="1">
      <c r="A339" s="7"/>
      <c r="B339" s="7"/>
      <c r="C339" s="7"/>
      <c r="D339" s="7"/>
      <c r="E339" s="7"/>
      <c r="F339" s="7"/>
      <c r="G339" s="7"/>
      <c r="H339" s="7"/>
      <c r="I339" s="10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7" customHeight="1">
      <c r="A340" s="7"/>
      <c r="B340" s="7"/>
      <c r="C340" s="7"/>
      <c r="D340" s="7"/>
      <c r="E340" s="7"/>
      <c r="F340" s="7"/>
      <c r="G340" s="7"/>
      <c r="H340" s="7"/>
      <c r="I340" s="10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7" customHeight="1">
      <c r="A341" s="7"/>
      <c r="B341" s="7"/>
      <c r="C341" s="7"/>
      <c r="D341" s="7"/>
      <c r="E341" s="7"/>
      <c r="F341" s="7"/>
      <c r="G341" s="7"/>
      <c r="H341" s="7"/>
      <c r="I341" s="10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7" customHeight="1">
      <c r="A342" s="7"/>
      <c r="B342" s="7"/>
      <c r="C342" s="7"/>
      <c r="D342" s="7"/>
      <c r="E342" s="7"/>
      <c r="F342" s="7"/>
      <c r="G342" s="7"/>
      <c r="H342" s="7"/>
      <c r="I342" s="10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7" customHeight="1">
      <c r="A343" s="7"/>
      <c r="B343" s="7"/>
      <c r="C343" s="7"/>
      <c r="D343" s="7"/>
      <c r="E343" s="7"/>
      <c r="F343" s="7"/>
      <c r="G343" s="7"/>
      <c r="H343" s="7"/>
      <c r="I343" s="10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7" customHeight="1">
      <c r="A344" s="7"/>
      <c r="B344" s="7"/>
      <c r="C344" s="7"/>
      <c r="D344" s="7"/>
      <c r="E344" s="7"/>
      <c r="F344" s="7"/>
      <c r="G344" s="7"/>
      <c r="H344" s="7"/>
      <c r="I344" s="10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7" customHeight="1">
      <c r="A345" s="7"/>
      <c r="B345" s="7"/>
      <c r="C345" s="7"/>
      <c r="D345" s="7"/>
      <c r="E345" s="7"/>
      <c r="F345" s="7"/>
      <c r="G345" s="7"/>
      <c r="H345" s="7"/>
      <c r="I345" s="10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7" customHeight="1">
      <c r="A346" s="7"/>
      <c r="B346" s="7"/>
      <c r="C346" s="7"/>
      <c r="D346" s="7"/>
      <c r="E346" s="7"/>
      <c r="F346" s="7"/>
      <c r="G346" s="7"/>
      <c r="H346" s="7"/>
      <c r="I346" s="10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7" customHeight="1">
      <c r="A347" s="7"/>
      <c r="B347" s="7"/>
      <c r="C347" s="7"/>
      <c r="D347" s="7"/>
      <c r="E347" s="7"/>
      <c r="F347" s="7"/>
      <c r="G347" s="7"/>
      <c r="H347" s="7"/>
      <c r="I347" s="10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7" customHeight="1">
      <c r="A348" s="7"/>
      <c r="B348" s="7"/>
      <c r="C348" s="7"/>
      <c r="D348" s="7"/>
      <c r="E348" s="7"/>
      <c r="F348" s="7"/>
      <c r="G348" s="7"/>
      <c r="H348" s="7"/>
      <c r="I348" s="10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7" customHeight="1">
      <c r="A349" s="7"/>
      <c r="B349" s="7"/>
      <c r="C349" s="7"/>
      <c r="D349" s="7"/>
      <c r="E349" s="7"/>
      <c r="F349" s="7"/>
      <c r="G349" s="7"/>
      <c r="H349" s="7"/>
      <c r="I349" s="10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7" customHeight="1">
      <c r="A350" s="7"/>
      <c r="B350" s="7"/>
      <c r="C350" s="7"/>
      <c r="D350" s="7"/>
      <c r="E350" s="7"/>
      <c r="F350" s="7"/>
      <c r="G350" s="7"/>
      <c r="H350" s="7"/>
      <c r="I350" s="10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7" customHeight="1">
      <c r="A351" s="7"/>
      <c r="B351" s="7"/>
      <c r="C351" s="7"/>
      <c r="D351" s="7"/>
      <c r="E351" s="7"/>
      <c r="F351" s="7"/>
      <c r="G351" s="7"/>
      <c r="H351" s="7"/>
      <c r="I351" s="10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7" customHeight="1">
      <c r="A352" s="7"/>
      <c r="B352" s="7"/>
      <c r="C352" s="7"/>
      <c r="D352" s="7"/>
      <c r="E352" s="7"/>
      <c r="F352" s="7"/>
      <c r="G352" s="7"/>
      <c r="H352" s="7"/>
      <c r="I352" s="10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7" customHeight="1">
      <c r="A353" s="7"/>
      <c r="B353" s="7"/>
      <c r="C353" s="7"/>
      <c r="D353" s="7"/>
      <c r="E353" s="7"/>
      <c r="F353" s="7"/>
      <c r="G353" s="7"/>
      <c r="H353" s="7"/>
      <c r="I353" s="10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7" customHeight="1">
      <c r="A354" s="7"/>
      <c r="B354" s="7"/>
      <c r="C354" s="7"/>
      <c r="D354" s="7"/>
      <c r="E354" s="7"/>
      <c r="F354" s="7"/>
      <c r="G354" s="7"/>
      <c r="H354" s="7"/>
      <c r="I354" s="10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7" customHeight="1">
      <c r="A355" s="7"/>
      <c r="B355" s="7"/>
      <c r="C355" s="7"/>
      <c r="D355" s="7"/>
      <c r="E355" s="7"/>
      <c r="F355" s="7"/>
      <c r="G355" s="7"/>
      <c r="H355" s="7"/>
      <c r="I355" s="10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7" customHeight="1">
      <c r="A356" s="7"/>
      <c r="B356" s="7"/>
      <c r="C356" s="7"/>
      <c r="D356" s="7"/>
      <c r="E356" s="7"/>
      <c r="F356" s="7"/>
      <c r="G356" s="7"/>
      <c r="H356" s="7"/>
      <c r="I356" s="10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7" customHeight="1">
      <c r="A357" s="7"/>
      <c r="B357" s="7"/>
      <c r="C357" s="7"/>
      <c r="D357" s="7"/>
      <c r="E357" s="7"/>
      <c r="F357" s="7"/>
      <c r="G357" s="7"/>
      <c r="H357" s="7"/>
      <c r="I357" s="10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7" customHeight="1">
      <c r="A358" s="7"/>
      <c r="B358" s="7"/>
      <c r="C358" s="7"/>
      <c r="D358" s="7"/>
      <c r="E358" s="7"/>
      <c r="F358" s="7"/>
      <c r="G358" s="7"/>
      <c r="H358" s="7"/>
      <c r="I358" s="10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7" customHeight="1">
      <c r="A359" s="7"/>
      <c r="B359" s="7"/>
      <c r="C359" s="7"/>
      <c r="D359" s="7"/>
      <c r="E359" s="7"/>
      <c r="F359" s="7"/>
      <c r="G359" s="7"/>
      <c r="H359" s="7"/>
      <c r="I359" s="10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7" customHeight="1">
      <c r="A360" s="7"/>
      <c r="B360" s="7"/>
      <c r="C360" s="7"/>
      <c r="D360" s="7"/>
      <c r="E360" s="7"/>
      <c r="F360" s="7"/>
      <c r="G360" s="7"/>
      <c r="H360" s="7"/>
      <c r="I360" s="10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7" customHeight="1">
      <c r="A361" s="7"/>
      <c r="B361" s="7"/>
      <c r="C361" s="7"/>
      <c r="D361" s="7"/>
      <c r="E361" s="7"/>
      <c r="F361" s="7"/>
      <c r="G361" s="7"/>
      <c r="H361" s="7"/>
      <c r="I361" s="10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7" customHeight="1">
      <c r="A362" s="7"/>
      <c r="B362" s="7"/>
      <c r="C362" s="7"/>
      <c r="D362" s="7"/>
      <c r="E362" s="7"/>
      <c r="F362" s="7"/>
      <c r="G362" s="7"/>
      <c r="H362" s="7"/>
      <c r="I362" s="10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7" customHeight="1">
      <c r="A363" s="7"/>
      <c r="B363" s="7"/>
      <c r="C363" s="7"/>
      <c r="D363" s="7"/>
      <c r="E363" s="7"/>
      <c r="F363" s="7"/>
      <c r="G363" s="7"/>
      <c r="H363" s="7"/>
      <c r="I363" s="10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7" customHeight="1">
      <c r="A364" s="7"/>
      <c r="B364" s="7"/>
      <c r="C364" s="7"/>
      <c r="D364" s="7"/>
      <c r="E364" s="7"/>
      <c r="F364" s="7"/>
      <c r="G364" s="7"/>
      <c r="H364" s="7"/>
      <c r="I364" s="10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7" customHeight="1">
      <c r="A365" s="7"/>
      <c r="B365" s="7"/>
      <c r="C365" s="7"/>
      <c r="D365" s="7"/>
      <c r="E365" s="7"/>
      <c r="F365" s="7"/>
      <c r="G365" s="7"/>
      <c r="H365" s="7"/>
      <c r="I365" s="10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7" customHeight="1">
      <c r="A366" s="7"/>
      <c r="B366" s="7"/>
      <c r="C366" s="7"/>
      <c r="D366" s="7"/>
      <c r="E366" s="7"/>
      <c r="F366" s="7"/>
      <c r="G366" s="7"/>
      <c r="H366" s="7"/>
      <c r="I366" s="10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7" customHeight="1">
      <c r="A367" s="7"/>
      <c r="B367" s="7"/>
      <c r="C367" s="7"/>
      <c r="D367" s="7"/>
      <c r="E367" s="7"/>
      <c r="F367" s="7"/>
      <c r="G367" s="7"/>
      <c r="H367" s="7"/>
      <c r="I367" s="10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7" customHeight="1">
      <c r="A368" s="7"/>
      <c r="B368" s="7"/>
      <c r="C368" s="7"/>
      <c r="D368" s="7"/>
      <c r="E368" s="7"/>
      <c r="F368" s="7"/>
      <c r="G368" s="7"/>
      <c r="H368" s="7"/>
      <c r="I368" s="10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7" customHeight="1">
      <c r="A369" s="7"/>
      <c r="B369" s="7"/>
      <c r="C369" s="7"/>
      <c r="D369" s="7"/>
      <c r="E369" s="7"/>
      <c r="F369" s="7"/>
      <c r="G369" s="7"/>
      <c r="H369" s="7"/>
      <c r="I369" s="10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7" customHeight="1">
      <c r="A370" s="7"/>
      <c r="B370" s="7"/>
      <c r="C370" s="7"/>
      <c r="D370" s="7"/>
      <c r="E370" s="7"/>
      <c r="F370" s="7"/>
      <c r="G370" s="7"/>
      <c r="H370" s="7"/>
      <c r="I370" s="10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7" customHeight="1">
      <c r="A371" s="7"/>
      <c r="B371" s="7"/>
      <c r="C371" s="7"/>
      <c r="D371" s="7"/>
      <c r="E371" s="7"/>
      <c r="F371" s="7"/>
      <c r="G371" s="7"/>
      <c r="H371" s="7"/>
      <c r="I371" s="10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7" customHeight="1">
      <c r="A372" s="7"/>
      <c r="B372" s="7"/>
      <c r="C372" s="7"/>
      <c r="D372" s="7"/>
      <c r="E372" s="7"/>
      <c r="F372" s="7"/>
      <c r="G372" s="7"/>
      <c r="H372" s="7"/>
      <c r="I372" s="10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7" customHeight="1">
      <c r="A373" s="7"/>
      <c r="B373" s="7"/>
      <c r="C373" s="7"/>
      <c r="D373" s="7"/>
      <c r="E373" s="7"/>
      <c r="F373" s="7"/>
      <c r="G373" s="7"/>
      <c r="H373" s="7"/>
      <c r="I373" s="10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7" customHeight="1">
      <c r="A374" s="7"/>
      <c r="B374" s="7"/>
      <c r="C374" s="7"/>
      <c r="D374" s="7"/>
      <c r="E374" s="7"/>
      <c r="F374" s="7"/>
      <c r="G374" s="7"/>
      <c r="H374" s="7"/>
      <c r="I374" s="10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7" customHeight="1">
      <c r="A375" s="7"/>
      <c r="B375" s="7"/>
      <c r="C375" s="7"/>
      <c r="D375" s="7"/>
      <c r="E375" s="7"/>
      <c r="F375" s="7"/>
      <c r="G375" s="7"/>
      <c r="H375" s="7"/>
      <c r="I375" s="10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7" customHeight="1">
      <c r="A376" s="7"/>
      <c r="B376" s="7"/>
      <c r="C376" s="7"/>
      <c r="D376" s="7"/>
      <c r="E376" s="7"/>
      <c r="F376" s="7"/>
      <c r="G376" s="7"/>
      <c r="H376" s="7"/>
      <c r="I376" s="10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7" customHeight="1">
      <c r="A377" s="7"/>
      <c r="B377" s="7"/>
      <c r="C377" s="7"/>
      <c r="D377" s="7"/>
      <c r="E377" s="7"/>
      <c r="F377" s="7"/>
      <c r="G377" s="7"/>
      <c r="H377" s="7"/>
      <c r="I377" s="10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7" customHeight="1">
      <c r="A378" s="7"/>
      <c r="B378" s="7"/>
      <c r="C378" s="7"/>
      <c r="D378" s="7"/>
      <c r="E378" s="7"/>
      <c r="F378" s="7"/>
      <c r="G378" s="7"/>
      <c r="H378" s="7"/>
      <c r="I378" s="10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7" customHeight="1">
      <c r="A379" s="7"/>
      <c r="B379" s="7"/>
      <c r="C379" s="7"/>
      <c r="D379" s="7"/>
      <c r="E379" s="7"/>
      <c r="F379" s="7"/>
      <c r="G379" s="7"/>
      <c r="H379" s="7"/>
      <c r="I379" s="10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7" customHeight="1">
      <c r="A380" s="7"/>
      <c r="B380" s="7"/>
      <c r="C380" s="7"/>
      <c r="D380" s="7"/>
      <c r="E380" s="7"/>
      <c r="F380" s="7"/>
      <c r="G380" s="7"/>
      <c r="H380" s="7"/>
      <c r="I380" s="10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7" customHeight="1">
      <c r="A381" s="7"/>
      <c r="B381" s="7"/>
      <c r="C381" s="7"/>
      <c r="D381" s="7"/>
      <c r="E381" s="7"/>
      <c r="F381" s="7"/>
      <c r="G381" s="7"/>
      <c r="H381" s="7"/>
      <c r="I381" s="10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7" customHeight="1">
      <c r="A382" s="7"/>
      <c r="B382" s="7"/>
      <c r="C382" s="7"/>
      <c r="D382" s="7"/>
      <c r="E382" s="7"/>
      <c r="F382" s="7"/>
      <c r="G382" s="7"/>
      <c r="H382" s="7"/>
      <c r="I382" s="10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7" customHeight="1">
      <c r="A383" s="7"/>
      <c r="B383" s="7"/>
      <c r="C383" s="7"/>
      <c r="D383" s="7"/>
      <c r="E383" s="7"/>
      <c r="F383" s="7"/>
      <c r="G383" s="7"/>
      <c r="H383" s="7"/>
      <c r="I383" s="10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7" customHeight="1">
      <c r="A384" s="7"/>
      <c r="B384" s="7"/>
      <c r="C384" s="7"/>
      <c r="D384" s="7"/>
      <c r="E384" s="7"/>
      <c r="F384" s="7"/>
      <c r="G384" s="7"/>
      <c r="H384" s="7"/>
      <c r="I384" s="10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7" customHeight="1">
      <c r="A385" s="7"/>
      <c r="B385" s="7"/>
      <c r="C385" s="7"/>
      <c r="D385" s="7"/>
      <c r="E385" s="7"/>
      <c r="F385" s="7"/>
      <c r="G385" s="7"/>
      <c r="H385" s="7"/>
      <c r="I385" s="10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7" customHeight="1">
      <c r="A386" s="7"/>
      <c r="B386" s="7"/>
      <c r="C386" s="7"/>
      <c r="D386" s="7"/>
      <c r="E386" s="7"/>
      <c r="F386" s="7"/>
      <c r="G386" s="7"/>
      <c r="H386" s="7"/>
      <c r="I386" s="10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7" customHeight="1">
      <c r="A387" s="7"/>
      <c r="B387" s="7"/>
      <c r="C387" s="7"/>
      <c r="D387" s="7"/>
      <c r="E387" s="7"/>
      <c r="F387" s="7"/>
      <c r="G387" s="7"/>
      <c r="H387" s="7"/>
      <c r="I387" s="10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7" customHeight="1">
      <c r="A388" s="7"/>
      <c r="B388" s="7"/>
      <c r="C388" s="7"/>
      <c r="D388" s="7"/>
      <c r="E388" s="7"/>
      <c r="F388" s="7"/>
      <c r="G388" s="7"/>
      <c r="H388" s="7"/>
      <c r="I388" s="10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7" customHeight="1">
      <c r="A389" s="7"/>
      <c r="B389" s="7"/>
      <c r="C389" s="7"/>
      <c r="D389" s="7"/>
      <c r="E389" s="7"/>
      <c r="F389" s="7"/>
      <c r="G389" s="7"/>
      <c r="H389" s="7"/>
      <c r="I389" s="10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7" customHeight="1">
      <c r="A390" s="7"/>
      <c r="B390" s="7"/>
      <c r="C390" s="7"/>
      <c r="D390" s="7"/>
      <c r="E390" s="7"/>
      <c r="F390" s="7"/>
      <c r="G390" s="7"/>
      <c r="H390" s="7"/>
      <c r="I390" s="10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7" customHeight="1">
      <c r="A391" s="7"/>
      <c r="B391" s="7"/>
      <c r="C391" s="7"/>
      <c r="D391" s="7"/>
      <c r="E391" s="7"/>
      <c r="F391" s="7"/>
      <c r="G391" s="7"/>
      <c r="H391" s="7"/>
      <c r="I391" s="10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7" customHeight="1">
      <c r="A392" s="7"/>
      <c r="B392" s="7"/>
      <c r="C392" s="7"/>
      <c r="D392" s="7"/>
      <c r="E392" s="7"/>
      <c r="F392" s="7"/>
      <c r="G392" s="7"/>
      <c r="H392" s="7"/>
      <c r="I392" s="10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7" customHeight="1">
      <c r="A393" s="7"/>
      <c r="B393" s="7"/>
      <c r="C393" s="7"/>
      <c r="D393" s="7"/>
      <c r="E393" s="7"/>
      <c r="F393" s="7"/>
      <c r="G393" s="7"/>
      <c r="H393" s="7"/>
      <c r="I393" s="10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7" customHeight="1">
      <c r="A394" s="7"/>
      <c r="B394" s="7"/>
      <c r="C394" s="7"/>
      <c r="D394" s="7"/>
      <c r="E394" s="7"/>
      <c r="F394" s="7"/>
      <c r="G394" s="7"/>
      <c r="H394" s="7"/>
      <c r="I394" s="10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7" customHeight="1">
      <c r="A395" s="7"/>
      <c r="B395" s="7"/>
      <c r="C395" s="7"/>
      <c r="D395" s="7"/>
      <c r="E395" s="7"/>
      <c r="F395" s="7"/>
      <c r="G395" s="7"/>
      <c r="H395" s="7"/>
      <c r="I395" s="10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7" customHeight="1">
      <c r="A396" s="7"/>
      <c r="B396" s="7"/>
      <c r="C396" s="7"/>
      <c r="D396" s="7"/>
      <c r="E396" s="7"/>
      <c r="F396" s="7"/>
      <c r="G396" s="7"/>
      <c r="H396" s="7"/>
      <c r="I396" s="10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7" customHeight="1">
      <c r="A397" s="7"/>
      <c r="B397" s="7"/>
      <c r="C397" s="7"/>
      <c r="D397" s="7"/>
      <c r="E397" s="7"/>
      <c r="F397" s="7"/>
      <c r="G397" s="7"/>
      <c r="H397" s="7"/>
      <c r="I397" s="10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7" customHeight="1">
      <c r="A398" s="7"/>
      <c r="B398" s="7"/>
      <c r="C398" s="7"/>
      <c r="D398" s="7"/>
      <c r="E398" s="7"/>
      <c r="F398" s="7"/>
      <c r="G398" s="7"/>
      <c r="H398" s="7"/>
      <c r="I398" s="10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7" customHeight="1">
      <c r="A399" s="7"/>
      <c r="B399" s="7"/>
      <c r="C399" s="7"/>
      <c r="D399" s="7"/>
      <c r="E399" s="7"/>
      <c r="F399" s="7"/>
      <c r="G399" s="7"/>
      <c r="H399" s="7"/>
      <c r="I399" s="10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7" customHeight="1">
      <c r="A400" s="7"/>
      <c r="B400" s="7"/>
      <c r="C400" s="7"/>
      <c r="D400" s="7"/>
      <c r="E400" s="7"/>
      <c r="F400" s="7"/>
      <c r="G400" s="7"/>
      <c r="H400" s="7"/>
      <c r="I400" s="10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7" customHeight="1">
      <c r="A401" s="7"/>
      <c r="B401" s="7"/>
      <c r="C401" s="7"/>
      <c r="D401" s="7"/>
      <c r="E401" s="7"/>
      <c r="F401" s="7"/>
      <c r="G401" s="7"/>
      <c r="H401" s="7"/>
      <c r="I401" s="10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7" customHeight="1">
      <c r="A402" s="7"/>
      <c r="B402" s="7"/>
      <c r="C402" s="7"/>
      <c r="D402" s="7"/>
      <c r="E402" s="7"/>
      <c r="F402" s="7"/>
      <c r="G402" s="7"/>
      <c r="H402" s="7"/>
      <c r="I402" s="10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7" customHeight="1">
      <c r="A403" s="7"/>
      <c r="B403" s="7"/>
      <c r="C403" s="7"/>
      <c r="D403" s="7"/>
      <c r="E403" s="7"/>
      <c r="F403" s="7"/>
      <c r="G403" s="7"/>
      <c r="H403" s="7"/>
      <c r="I403" s="10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7" customHeight="1">
      <c r="A404" s="7"/>
      <c r="B404" s="7"/>
      <c r="C404" s="7"/>
      <c r="D404" s="7"/>
      <c r="E404" s="7"/>
      <c r="F404" s="7"/>
      <c r="G404" s="7"/>
      <c r="H404" s="7"/>
      <c r="I404" s="10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7" customHeight="1">
      <c r="A405" s="7"/>
      <c r="B405" s="7"/>
      <c r="C405" s="7"/>
      <c r="D405" s="7"/>
      <c r="E405" s="7"/>
      <c r="F405" s="7"/>
      <c r="G405" s="7"/>
      <c r="H405" s="7"/>
      <c r="I405" s="10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7" customHeight="1">
      <c r="A406" s="7"/>
      <c r="B406" s="7"/>
      <c r="C406" s="7"/>
      <c r="D406" s="7"/>
      <c r="E406" s="7"/>
      <c r="F406" s="7"/>
      <c r="G406" s="7"/>
      <c r="H406" s="7"/>
      <c r="I406" s="10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7" customHeight="1">
      <c r="A407" s="7"/>
      <c r="B407" s="7"/>
      <c r="C407" s="7"/>
      <c r="D407" s="7"/>
      <c r="E407" s="7"/>
      <c r="F407" s="7"/>
      <c r="G407" s="7"/>
      <c r="H407" s="7"/>
      <c r="I407" s="10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7" customHeight="1">
      <c r="A408" s="7"/>
      <c r="B408" s="7"/>
      <c r="C408" s="7"/>
      <c r="D408" s="7"/>
      <c r="E408" s="7"/>
      <c r="F408" s="7"/>
      <c r="G408" s="7"/>
      <c r="H408" s="7"/>
      <c r="I408" s="10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7" customHeight="1">
      <c r="A409" s="7"/>
      <c r="B409" s="7"/>
      <c r="C409" s="7"/>
      <c r="D409" s="7"/>
      <c r="E409" s="7"/>
      <c r="F409" s="7"/>
      <c r="G409" s="7"/>
      <c r="H409" s="7"/>
      <c r="I409" s="10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7" customHeight="1">
      <c r="A410" s="7"/>
      <c r="B410" s="7"/>
      <c r="C410" s="7"/>
      <c r="D410" s="7"/>
      <c r="E410" s="7"/>
      <c r="F410" s="7"/>
      <c r="G410" s="7"/>
      <c r="H410" s="7"/>
      <c r="I410" s="10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7" customHeight="1">
      <c r="A411" s="7"/>
      <c r="B411" s="7"/>
      <c r="C411" s="7"/>
      <c r="D411" s="7"/>
      <c r="E411" s="7"/>
      <c r="F411" s="7"/>
      <c r="G411" s="7"/>
      <c r="H411" s="7"/>
      <c r="I411" s="10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7" customHeight="1">
      <c r="A412" s="7"/>
      <c r="B412" s="7"/>
      <c r="C412" s="7"/>
      <c r="D412" s="7"/>
      <c r="E412" s="7"/>
      <c r="F412" s="7"/>
      <c r="G412" s="7"/>
      <c r="H412" s="7"/>
      <c r="I412" s="10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7" customHeight="1">
      <c r="A413" s="7"/>
      <c r="B413" s="7"/>
      <c r="C413" s="7"/>
      <c r="D413" s="7"/>
      <c r="E413" s="7"/>
      <c r="F413" s="7"/>
      <c r="G413" s="7"/>
      <c r="H413" s="7"/>
      <c r="I413" s="10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7" customHeight="1">
      <c r="A414" s="7"/>
      <c r="B414" s="7"/>
      <c r="C414" s="7"/>
      <c r="D414" s="7"/>
      <c r="E414" s="7"/>
      <c r="F414" s="7"/>
      <c r="G414" s="7"/>
      <c r="H414" s="7"/>
      <c r="I414" s="10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7" customHeight="1">
      <c r="A415" s="7"/>
      <c r="B415" s="7"/>
      <c r="C415" s="7"/>
      <c r="D415" s="7"/>
      <c r="E415" s="7"/>
      <c r="F415" s="7"/>
      <c r="G415" s="7"/>
      <c r="H415" s="7"/>
      <c r="I415" s="10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7" customHeight="1">
      <c r="A416" s="7"/>
      <c r="B416" s="7"/>
      <c r="C416" s="7"/>
      <c r="D416" s="7"/>
      <c r="E416" s="7"/>
      <c r="F416" s="7"/>
      <c r="G416" s="7"/>
      <c r="H416" s="7"/>
      <c r="I416" s="10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7" customHeight="1">
      <c r="A417" s="7"/>
      <c r="B417" s="7"/>
      <c r="C417" s="7"/>
      <c r="D417" s="7"/>
      <c r="E417" s="7"/>
      <c r="F417" s="7"/>
      <c r="G417" s="7"/>
      <c r="H417" s="7"/>
      <c r="I417" s="10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7" customHeight="1">
      <c r="A418" s="7"/>
      <c r="B418" s="7"/>
      <c r="C418" s="7"/>
      <c r="D418" s="7"/>
      <c r="E418" s="7"/>
      <c r="F418" s="7"/>
      <c r="G418" s="7"/>
      <c r="H418" s="7"/>
      <c r="I418" s="10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7" customHeight="1">
      <c r="A419" s="7"/>
      <c r="B419" s="7"/>
      <c r="C419" s="7"/>
      <c r="D419" s="7"/>
      <c r="E419" s="7"/>
      <c r="F419" s="7"/>
      <c r="G419" s="7"/>
      <c r="H419" s="7"/>
      <c r="I419" s="10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7" customHeight="1">
      <c r="A420" s="7"/>
      <c r="B420" s="7"/>
      <c r="C420" s="7"/>
      <c r="D420" s="7"/>
      <c r="E420" s="7"/>
      <c r="F420" s="7"/>
      <c r="G420" s="7"/>
      <c r="H420" s="7"/>
      <c r="I420" s="10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7" customHeight="1">
      <c r="A421" s="7"/>
      <c r="B421" s="7"/>
      <c r="C421" s="7"/>
      <c r="D421" s="7"/>
      <c r="E421" s="7"/>
      <c r="F421" s="7"/>
      <c r="G421" s="7"/>
      <c r="H421" s="7"/>
      <c r="I421" s="10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7" customHeight="1">
      <c r="A422" s="7"/>
      <c r="B422" s="7"/>
      <c r="C422" s="7"/>
      <c r="D422" s="7"/>
      <c r="E422" s="7"/>
      <c r="F422" s="7"/>
      <c r="G422" s="7"/>
      <c r="H422" s="7"/>
      <c r="I422" s="10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7" customHeight="1">
      <c r="A423" s="7"/>
      <c r="B423" s="7"/>
      <c r="C423" s="7"/>
      <c r="D423" s="7"/>
      <c r="E423" s="7"/>
      <c r="F423" s="7"/>
      <c r="G423" s="7"/>
      <c r="H423" s="7"/>
      <c r="I423" s="10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7" customHeight="1">
      <c r="A424" s="7"/>
      <c r="B424" s="7"/>
      <c r="C424" s="7"/>
      <c r="D424" s="7"/>
      <c r="E424" s="7"/>
      <c r="F424" s="7"/>
      <c r="G424" s="7"/>
      <c r="H424" s="7"/>
      <c r="I424" s="10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7" customHeight="1">
      <c r="A425" s="7"/>
      <c r="B425" s="7"/>
      <c r="C425" s="7"/>
      <c r="D425" s="7"/>
      <c r="E425" s="7"/>
      <c r="F425" s="7"/>
      <c r="G425" s="7"/>
      <c r="H425" s="7"/>
      <c r="I425" s="10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7" customHeight="1">
      <c r="A426" s="7"/>
      <c r="B426" s="7"/>
      <c r="C426" s="7"/>
      <c r="D426" s="7"/>
      <c r="E426" s="7"/>
      <c r="F426" s="7"/>
      <c r="G426" s="7"/>
      <c r="H426" s="7"/>
      <c r="I426" s="10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7" customHeight="1">
      <c r="A427" s="7"/>
      <c r="B427" s="7"/>
      <c r="C427" s="7"/>
      <c r="D427" s="7"/>
      <c r="E427" s="7"/>
      <c r="F427" s="7"/>
      <c r="G427" s="7"/>
      <c r="H427" s="7"/>
      <c r="I427" s="10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7" customHeight="1">
      <c r="A428" s="7"/>
      <c r="B428" s="7"/>
      <c r="C428" s="7"/>
      <c r="D428" s="7"/>
      <c r="E428" s="7"/>
      <c r="F428" s="7"/>
      <c r="G428" s="7"/>
      <c r="H428" s="7"/>
      <c r="I428" s="10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7" customHeight="1">
      <c r="A429" s="7"/>
      <c r="B429" s="7"/>
      <c r="C429" s="7"/>
      <c r="D429" s="7"/>
      <c r="E429" s="7"/>
      <c r="F429" s="7"/>
      <c r="G429" s="7"/>
      <c r="H429" s="7"/>
      <c r="I429" s="10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7" customHeight="1">
      <c r="A430" s="7"/>
      <c r="B430" s="7"/>
      <c r="C430" s="7"/>
      <c r="D430" s="7"/>
      <c r="E430" s="7"/>
      <c r="F430" s="7"/>
      <c r="G430" s="7"/>
      <c r="H430" s="7"/>
      <c r="I430" s="10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7" customHeight="1">
      <c r="A431" s="7"/>
      <c r="B431" s="7"/>
      <c r="C431" s="7"/>
      <c r="D431" s="7"/>
      <c r="E431" s="7"/>
      <c r="F431" s="7"/>
      <c r="G431" s="7"/>
      <c r="H431" s="7"/>
      <c r="I431" s="10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7" customHeight="1">
      <c r="A432" s="7"/>
      <c r="B432" s="7"/>
      <c r="C432" s="7"/>
      <c r="D432" s="7"/>
      <c r="E432" s="7"/>
      <c r="F432" s="7"/>
      <c r="G432" s="7"/>
      <c r="H432" s="7"/>
      <c r="I432" s="10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7" customHeight="1">
      <c r="A433" s="7"/>
      <c r="B433" s="7"/>
      <c r="C433" s="7"/>
      <c r="D433" s="7"/>
      <c r="E433" s="7"/>
      <c r="F433" s="7"/>
      <c r="G433" s="7"/>
      <c r="H433" s="7"/>
      <c r="I433" s="10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7" customHeight="1">
      <c r="A434" s="7"/>
      <c r="B434" s="7"/>
      <c r="C434" s="7"/>
      <c r="D434" s="7"/>
      <c r="E434" s="7"/>
      <c r="F434" s="7"/>
      <c r="G434" s="7"/>
      <c r="H434" s="7"/>
      <c r="I434" s="10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7" customHeight="1">
      <c r="A435" s="7"/>
      <c r="B435" s="7"/>
      <c r="C435" s="7"/>
      <c r="D435" s="7"/>
      <c r="E435" s="7"/>
      <c r="F435" s="7"/>
      <c r="G435" s="7"/>
      <c r="H435" s="7"/>
      <c r="I435" s="10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7" customHeight="1">
      <c r="A436" s="7"/>
      <c r="B436" s="7"/>
      <c r="C436" s="7"/>
      <c r="D436" s="7"/>
      <c r="E436" s="7"/>
      <c r="F436" s="7"/>
      <c r="G436" s="7"/>
      <c r="H436" s="7"/>
      <c r="I436" s="10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7" customHeight="1">
      <c r="A437" s="7"/>
      <c r="B437" s="7"/>
      <c r="C437" s="7"/>
      <c r="D437" s="7"/>
      <c r="E437" s="7"/>
      <c r="F437" s="7"/>
      <c r="G437" s="7"/>
      <c r="H437" s="7"/>
      <c r="I437" s="10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7" customHeight="1">
      <c r="A438" s="7"/>
      <c r="B438" s="7"/>
      <c r="C438" s="7"/>
      <c r="D438" s="7"/>
      <c r="E438" s="7"/>
      <c r="F438" s="7"/>
      <c r="G438" s="7"/>
      <c r="H438" s="7"/>
      <c r="I438" s="10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7" customHeight="1">
      <c r="A439" s="7"/>
      <c r="B439" s="7"/>
      <c r="C439" s="7"/>
      <c r="D439" s="7"/>
      <c r="E439" s="7"/>
      <c r="F439" s="7"/>
      <c r="G439" s="7"/>
      <c r="H439" s="7"/>
      <c r="I439" s="10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7" customHeight="1">
      <c r="A440" s="7"/>
      <c r="B440" s="7"/>
      <c r="C440" s="7"/>
      <c r="D440" s="7"/>
      <c r="E440" s="7"/>
      <c r="F440" s="7"/>
      <c r="G440" s="7"/>
      <c r="H440" s="7"/>
      <c r="I440" s="10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7" customHeight="1">
      <c r="A441" s="7"/>
      <c r="B441" s="7"/>
      <c r="C441" s="7"/>
      <c r="D441" s="7"/>
      <c r="E441" s="7"/>
      <c r="F441" s="7"/>
      <c r="G441" s="7"/>
      <c r="H441" s="7"/>
      <c r="I441" s="10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7" customHeight="1">
      <c r="A442" s="7"/>
      <c r="B442" s="7"/>
      <c r="C442" s="7"/>
      <c r="D442" s="7"/>
      <c r="E442" s="7"/>
      <c r="F442" s="7"/>
      <c r="G442" s="7"/>
      <c r="H442" s="7"/>
      <c r="I442" s="10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7" customHeight="1">
      <c r="A443" s="7"/>
      <c r="B443" s="7"/>
      <c r="C443" s="7"/>
      <c r="D443" s="7"/>
      <c r="E443" s="7"/>
      <c r="F443" s="7"/>
      <c r="G443" s="7"/>
      <c r="H443" s="7"/>
      <c r="I443" s="10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7" customHeight="1">
      <c r="A444" s="7"/>
      <c r="B444" s="7"/>
      <c r="C444" s="7"/>
      <c r="D444" s="7"/>
      <c r="E444" s="7"/>
      <c r="F444" s="7"/>
      <c r="G444" s="7"/>
      <c r="H444" s="7"/>
      <c r="I444" s="10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7" customHeight="1">
      <c r="A445" s="7"/>
      <c r="B445" s="7"/>
      <c r="C445" s="7"/>
      <c r="D445" s="7"/>
      <c r="E445" s="7"/>
      <c r="F445" s="7"/>
      <c r="G445" s="7"/>
      <c r="H445" s="7"/>
      <c r="I445" s="10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7" customHeight="1">
      <c r="A446" s="7"/>
      <c r="B446" s="7"/>
      <c r="C446" s="7"/>
      <c r="D446" s="7"/>
      <c r="E446" s="7"/>
      <c r="F446" s="7"/>
      <c r="G446" s="7"/>
      <c r="H446" s="7"/>
      <c r="I446" s="10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7" customHeight="1">
      <c r="A447" s="7"/>
      <c r="B447" s="7"/>
      <c r="C447" s="7"/>
      <c r="D447" s="7"/>
      <c r="E447" s="7"/>
      <c r="F447" s="7"/>
      <c r="G447" s="7"/>
      <c r="H447" s="7"/>
      <c r="I447" s="10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7" customHeight="1">
      <c r="A448" s="7"/>
      <c r="B448" s="7"/>
      <c r="C448" s="7"/>
      <c r="D448" s="7"/>
      <c r="E448" s="7"/>
      <c r="F448" s="7"/>
      <c r="G448" s="7"/>
      <c r="H448" s="7"/>
      <c r="I448" s="10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7" customHeight="1">
      <c r="A449" s="7"/>
      <c r="B449" s="7"/>
      <c r="C449" s="7"/>
      <c r="D449" s="7"/>
      <c r="E449" s="7"/>
      <c r="F449" s="7"/>
      <c r="G449" s="7"/>
      <c r="H449" s="7"/>
      <c r="I449" s="10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7" customHeight="1">
      <c r="A450" s="7"/>
      <c r="B450" s="7"/>
      <c r="C450" s="7"/>
      <c r="D450" s="7"/>
      <c r="E450" s="7"/>
      <c r="F450" s="7"/>
      <c r="G450" s="7"/>
      <c r="H450" s="7"/>
      <c r="I450" s="10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7" customHeight="1">
      <c r="A451" s="7"/>
      <c r="B451" s="7"/>
      <c r="C451" s="7"/>
      <c r="D451" s="7"/>
      <c r="E451" s="7"/>
      <c r="F451" s="7"/>
      <c r="G451" s="7"/>
      <c r="H451" s="7"/>
      <c r="I451" s="10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7" customHeight="1">
      <c r="A452" s="7"/>
      <c r="B452" s="7"/>
      <c r="C452" s="7"/>
      <c r="D452" s="7"/>
      <c r="E452" s="7"/>
      <c r="F452" s="7"/>
      <c r="G452" s="7"/>
      <c r="H452" s="7"/>
      <c r="I452" s="10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7" customHeight="1">
      <c r="A453" s="7"/>
      <c r="B453" s="7"/>
      <c r="C453" s="7"/>
      <c r="D453" s="7"/>
      <c r="E453" s="7"/>
      <c r="F453" s="7"/>
      <c r="G453" s="7"/>
      <c r="H453" s="7"/>
      <c r="I453" s="10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7" customHeight="1">
      <c r="A454" s="7"/>
      <c r="B454" s="7"/>
      <c r="C454" s="7"/>
      <c r="D454" s="7"/>
      <c r="E454" s="7"/>
      <c r="F454" s="7"/>
      <c r="G454" s="7"/>
      <c r="H454" s="7"/>
      <c r="I454" s="10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7" customHeight="1">
      <c r="A455" s="7"/>
      <c r="B455" s="7"/>
      <c r="C455" s="7"/>
      <c r="D455" s="7"/>
      <c r="E455" s="7"/>
      <c r="F455" s="7"/>
      <c r="G455" s="7"/>
      <c r="H455" s="7"/>
      <c r="I455" s="10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7" customHeight="1">
      <c r="A456" s="7"/>
      <c r="B456" s="7"/>
      <c r="C456" s="7"/>
      <c r="D456" s="7"/>
      <c r="E456" s="7"/>
      <c r="F456" s="7"/>
      <c r="G456" s="7"/>
      <c r="H456" s="7"/>
      <c r="I456" s="10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7" customHeight="1">
      <c r="A457" s="7"/>
      <c r="B457" s="7"/>
      <c r="C457" s="7"/>
      <c r="D457" s="7"/>
      <c r="E457" s="7"/>
      <c r="F457" s="7"/>
      <c r="G457" s="7"/>
      <c r="H457" s="7"/>
      <c r="I457" s="10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7" customHeight="1">
      <c r="A458" s="7"/>
      <c r="B458" s="7"/>
      <c r="C458" s="7"/>
      <c r="D458" s="7"/>
      <c r="E458" s="7"/>
      <c r="F458" s="7"/>
      <c r="G458" s="7"/>
      <c r="H458" s="7"/>
      <c r="I458" s="10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7" customHeight="1">
      <c r="A459" s="7"/>
      <c r="B459" s="7"/>
      <c r="C459" s="7"/>
      <c r="D459" s="7"/>
      <c r="E459" s="7"/>
      <c r="F459" s="7"/>
      <c r="G459" s="7"/>
      <c r="H459" s="7"/>
      <c r="I459" s="10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7" customHeight="1">
      <c r="A460" s="7"/>
      <c r="B460" s="7"/>
      <c r="C460" s="7"/>
      <c r="D460" s="7"/>
      <c r="E460" s="7"/>
      <c r="F460" s="7"/>
      <c r="G460" s="7"/>
      <c r="H460" s="7"/>
      <c r="I460" s="10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7" customHeight="1">
      <c r="A461" s="7"/>
      <c r="B461" s="7"/>
      <c r="C461" s="7"/>
      <c r="D461" s="7"/>
      <c r="E461" s="7"/>
      <c r="F461" s="7"/>
      <c r="G461" s="7"/>
      <c r="H461" s="7"/>
      <c r="I461" s="10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7" customHeight="1">
      <c r="A462" s="7"/>
      <c r="B462" s="7"/>
      <c r="C462" s="7"/>
      <c r="D462" s="7"/>
      <c r="E462" s="7"/>
      <c r="F462" s="7"/>
      <c r="G462" s="7"/>
      <c r="H462" s="7"/>
      <c r="I462" s="10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7" customHeight="1">
      <c r="A463" s="7"/>
      <c r="B463" s="7"/>
      <c r="C463" s="7"/>
      <c r="D463" s="7"/>
      <c r="E463" s="7"/>
      <c r="F463" s="7"/>
      <c r="G463" s="7"/>
      <c r="H463" s="7"/>
      <c r="I463" s="10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7" customHeight="1">
      <c r="A464" s="7"/>
      <c r="B464" s="7"/>
      <c r="C464" s="7"/>
      <c r="D464" s="7"/>
      <c r="E464" s="7"/>
      <c r="F464" s="7"/>
      <c r="G464" s="7"/>
      <c r="H464" s="7"/>
      <c r="I464" s="10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7" customHeight="1">
      <c r="A465" s="7"/>
      <c r="B465" s="7"/>
      <c r="C465" s="7"/>
      <c r="D465" s="7"/>
      <c r="E465" s="7"/>
      <c r="F465" s="7"/>
      <c r="G465" s="7"/>
      <c r="H465" s="7"/>
      <c r="I465" s="10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7" customHeight="1">
      <c r="A466" s="7"/>
      <c r="B466" s="7"/>
      <c r="C466" s="7"/>
      <c r="D466" s="7"/>
      <c r="E466" s="7"/>
      <c r="F466" s="7"/>
      <c r="G466" s="7"/>
      <c r="H466" s="7"/>
      <c r="I466" s="10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7" customHeight="1">
      <c r="A467" s="7"/>
      <c r="B467" s="7"/>
      <c r="C467" s="7"/>
      <c r="D467" s="7"/>
      <c r="E467" s="7"/>
      <c r="F467" s="7"/>
      <c r="G467" s="7"/>
      <c r="H467" s="7"/>
      <c r="I467" s="10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7" customHeight="1">
      <c r="A468" s="7"/>
      <c r="B468" s="7"/>
      <c r="C468" s="7"/>
      <c r="D468" s="7"/>
      <c r="E468" s="7"/>
      <c r="F468" s="7"/>
      <c r="G468" s="7"/>
      <c r="H468" s="7"/>
      <c r="I468" s="10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7" customHeight="1">
      <c r="A469" s="7"/>
      <c r="B469" s="7"/>
      <c r="C469" s="7"/>
      <c r="D469" s="7"/>
      <c r="E469" s="7"/>
      <c r="F469" s="7"/>
      <c r="G469" s="7"/>
      <c r="H469" s="7"/>
      <c r="I469" s="10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7" customHeight="1">
      <c r="A470" s="7"/>
      <c r="B470" s="7"/>
      <c r="C470" s="7"/>
      <c r="D470" s="7"/>
      <c r="E470" s="7"/>
      <c r="F470" s="7"/>
      <c r="G470" s="7"/>
      <c r="H470" s="7"/>
      <c r="I470" s="10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7" customHeight="1">
      <c r="A471" s="7"/>
      <c r="B471" s="7"/>
      <c r="C471" s="7"/>
      <c r="D471" s="7"/>
      <c r="E471" s="7"/>
      <c r="F471" s="7"/>
      <c r="G471" s="7"/>
      <c r="H471" s="7"/>
      <c r="I471" s="10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7" customHeight="1">
      <c r="A472" s="7"/>
      <c r="B472" s="7"/>
      <c r="C472" s="7"/>
      <c r="D472" s="7"/>
      <c r="E472" s="7"/>
      <c r="F472" s="7"/>
      <c r="G472" s="7"/>
      <c r="H472" s="7"/>
      <c r="I472" s="10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7" customHeight="1">
      <c r="A473" s="7"/>
      <c r="B473" s="7"/>
      <c r="C473" s="7"/>
      <c r="D473" s="7"/>
      <c r="E473" s="7"/>
      <c r="F473" s="7"/>
      <c r="G473" s="7"/>
      <c r="H473" s="7"/>
      <c r="I473" s="10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7" customHeight="1">
      <c r="A474" s="7"/>
      <c r="B474" s="7"/>
      <c r="C474" s="7"/>
      <c r="D474" s="7"/>
      <c r="E474" s="7"/>
      <c r="F474" s="7"/>
      <c r="G474" s="7"/>
      <c r="H474" s="7"/>
      <c r="I474" s="10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7" customHeight="1">
      <c r="A475" s="7"/>
      <c r="B475" s="7"/>
      <c r="C475" s="7"/>
      <c r="D475" s="7"/>
      <c r="E475" s="7"/>
      <c r="F475" s="7"/>
      <c r="G475" s="7"/>
      <c r="H475" s="7"/>
      <c r="I475" s="10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7" customHeight="1">
      <c r="A476" s="7"/>
      <c r="B476" s="7"/>
      <c r="C476" s="7"/>
      <c r="D476" s="7"/>
      <c r="E476" s="7"/>
      <c r="F476" s="7"/>
      <c r="G476" s="7"/>
      <c r="H476" s="7"/>
      <c r="I476" s="10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7" customHeight="1">
      <c r="A477" s="7"/>
      <c r="B477" s="7"/>
      <c r="C477" s="7"/>
      <c r="D477" s="7"/>
      <c r="E477" s="7"/>
      <c r="F477" s="7"/>
      <c r="G477" s="7"/>
      <c r="H477" s="7"/>
      <c r="I477" s="10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7" customHeight="1">
      <c r="A478" s="7"/>
      <c r="B478" s="7"/>
      <c r="C478" s="7"/>
      <c r="D478" s="7"/>
      <c r="E478" s="7"/>
      <c r="F478" s="7"/>
      <c r="G478" s="7"/>
      <c r="H478" s="7"/>
      <c r="I478" s="10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7" customHeight="1">
      <c r="A479" s="7"/>
      <c r="B479" s="7"/>
      <c r="C479" s="7"/>
      <c r="D479" s="7"/>
      <c r="E479" s="7"/>
      <c r="F479" s="7"/>
      <c r="G479" s="7"/>
      <c r="H479" s="7"/>
      <c r="I479" s="10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7" customHeight="1">
      <c r="A480" s="7"/>
      <c r="B480" s="7"/>
      <c r="C480" s="7"/>
      <c r="D480" s="7"/>
      <c r="E480" s="7"/>
      <c r="F480" s="7"/>
      <c r="G480" s="7"/>
      <c r="H480" s="7"/>
      <c r="I480" s="10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7" customHeight="1">
      <c r="A481" s="7"/>
      <c r="B481" s="7"/>
      <c r="C481" s="7"/>
      <c r="D481" s="7"/>
      <c r="E481" s="7"/>
      <c r="F481" s="7"/>
      <c r="G481" s="7"/>
      <c r="H481" s="7"/>
      <c r="I481" s="10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7" customHeight="1">
      <c r="A482" s="7"/>
      <c r="B482" s="7"/>
      <c r="C482" s="7"/>
      <c r="D482" s="7"/>
      <c r="E482" s="7"/>
      <c r="F482" s="7"/>
      <c r="G482" s="7"/>
      <c r="H482" s="7"/>
      <c r="I482" s="10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7" customHeight="1">
      <c r="A483" s="7"/>
      <c r="B483" s="7"/>
      <c r="C483" s="7"/>
      <c r="D483" s="7"/>
      <c r="E483" s="7"/>
      <c r="F483" s="7"/>
      <c r="G483" s="7"/>
      <c r="H483" s="7"/>
      <c r="I483" s="10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7" customHeight="1">
      <c r="A484" s="7"/>
      <c r="B484" s="7"/>
      <c r="C484" s="7"/>
      <c r="D484" s="7"/>
      <c r="E484" s="7"/>
      <c r="F484" s="7"/>
      <c r="G484" s="7"/>
      <c r="H484" s="7"/>
      <c r="I484" s="10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7" customHeight="1">
      <c r="A485" s="7"/>
      <c r="B485" s="7"/>
      <c r="C485" s="7"/>
      <c r="D485" s="7"/>
      <c r="E485" s="7"/>
      <c r="F485" s="7"/>
      <c r="G485" s="7"/>
      <c r="H485" s="7"/>
      <c r="I485" s="10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7" customHeight="1">
      <c r="A486" s="7"/>
      <c r="B486" s="7"/>
      <c r="C486" s="7"/>
      <c r="D486" s="7"/>
      <c r="E486" s="7"/>
      <c r="F486" s="7"/>
      <c r="G486" s="7"/>
      <c r="H486" s="7"/>
      <c r="I486" s="10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7" customHeight="1">
      <c r="A487" s="7"/>
      <c r="B487" s="7"/>
      <c r="C487" s="7"/>
      <c r="D487" s="7"/>
      <c r="E487" s="7"/>
      <c r="F487" s="7"/>
      <c r="G487" s="7"/>
      <c r="H487" s="7"/>
      <c r="I487" s="10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7" customHeight="1">
      <c r="A488" s="7"/>
      <c r="B488" s="7"/>
      <c r="C488" s="7"/>
      <c r="D488" s="7"/>
      <c r="E488" s="7"/>
      <c r="F488" s="7"/>
      <c r="G488" s="7"/>
      <c r="H488" s="7"/>
      <c r="I488" s="10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7" customHeight="1">
      <c r="A489" s="7"/>
      <c r="B489" s="7"/>
      <c r="C489" s="7"/>
      <c r="D489" s="7"/>
      <c r="E489" s="7"/>
      <c r="F489" s="7"/>
      <c r="G489" s="7"/>
      <c r="H489" s="7"/>
      <c r="I489" s="10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7" customHeight="1">
      <c r="A490" s="7"/>
      <c r="B490" s="7"/>
      <c r="C490" s="7"/>
      <c r="D490" s="7"/>
      <c r="E490" s="7"/>
      <c r="F490" s="7"/>
      <c r="G490" s="7"/>
      <c r="H490" s="7"/>
      <c r="I490" s="10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7" customHeight="1">
      <c r="A491" s="7"/>
      <c r="B491" s="7"/>
      <c r="C491" s="7"/>
      <c r="D491" s="7"/>
      <c r="E491" s="7"/>
      <c r="F491" s="7"/>
      <c r="G491" s="7"/>
      <c r="H491" s="7"/>
      <c r="I491" s="10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7" customHeight="1">
      <c r="A492" s="7"/>
      <c r="B492" s="7"/>
      <c r="C492" s="7"/>
      <c r="D492" s="7"/>
      <c r="E492" s="7"/>
      <c r="F492" s="7"/>
      <c r="G492" s="7"/>
      <c r="H492" s="7"/>
      <c r="I492" s="10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7" customHeight="1">
      <c r="A493" s="7"/>
      <c r="B493" s="7"/>
      <c r="C493" s="7"/>
      <c r="D493" s="7"/>
      <c r="E493" s="7"/>
      <c r="F493" s="7"/>
      <c r="G493" s="7"/>
      <c r="H493" s="7"/>
      <c r="I493" s="10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7" customHeight="1">
      <c r="A494" s="7"/>
      <c r="B494" s="7"/>
      <c r="C494" s="7"/>
      <c r="D494" s="7"/>
      <c r="E494" s="7"/>
      <c r="F494" s="7"/>
      <c r="G494" s="7"/>
      <c r="H494" s="7"/>
      <c r="I494" s="10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7" customHeight="1">
      <c r="A495" s="7"/>
      <c r="B495" s="7"/>
      <c r="C495" s="7"/>
      <c r="D495" s="7"/>
      <c r="E495" s="7"/>
      <c r="F495" s="7"/>
      <c r="G495" s="7"/>
      <c r="H495" s="7"/>
      <c r="I495" s="10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7" customHeight="1">
      <c r="A496" s="7"/>
      <c r="B496" s="7"/>
      <c r="C496" s="7"/>
      <c r="D496" s="7"/>
      <c r="E496" s="7"/>
      <c r="F496" s="7"/>
      <c r="G496" s="7"/>
      <c r="H496" s="7"/>
      <c r="I496" s="10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7" customHeight="1">
      <c r="A497" s="7"/>
      <c r="B497" s="7"/>
      <c r="C497" s="7"/>
      <c r="D497" s="7"/>
      <c r="E497" s="7"/>
      <c r="F497" s="7"/>
      <c r="G497" s="7"/>
      <c r="H497" s="7"/>
      <c r="I497" s="10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7" customHeight="1">
      <c r="A498" s="7"/>
      <c r="B498" s="7"/>
      <c r="C498" s="7"/>
      <c r="D498" s="7"/>
      <c r="E498" s="7"/>
      <c r="F498" s="7"/>
      <c r="G498" s="7"/>
      <c r="H498" s="7"/>
      <c r="I498" s="10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7" customHeight="1">
      <c r="A499" s="7"/>
      <c r="B499" s="7"/>
      <c r="C499" s="7"/>
      <c r="D499" s="7"/>
      <c r="E499" s="7"/>
      <c r="F499" s="7"/>
      <c r="G499" s="7"/>
      <c r="H499" s="7"/>
      <c r="I499" s="10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7" customHeight="1">
      <c r="A500" s="7"/>
      <c r="B500" s="7"/>
      <c r="C500" s="7"/>
      <c r="D500" s="7"/>
      <c r="E500" s="7"/>
      <c r="F500" s="7"/>
      <c r="G500" s="7"/>
      <c r="H500" s="7"/>
      <c r="I500" s="10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7" customHeight="1">
      <c r="A501" s="7"/>
      <c r="B501" s="7"/>
      <c r="C501" s="7"/>
      <c r="D501" s="7"/>
      <c r="E501" s="7"/>
      <c r="F501" s="7"/>
      <c r="G501" s="7"/>
      <c r="H501" s="7"/>
      <c r="I501" s="10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7" customHeight="1">
      <c r="A502" s="7"/>
      <c r="B502" s="7"/>
      <c r="C502" s="7"/>
      <c r="D502" s="7"/>
      <c r="E502" s="7"/>
      <c r="F502" s="7"/>
      <c r="G502" s="7"/>
      <c r="H502" s="7"/>
      <c r="I502" s="10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7" customHeight="1">
      <c r="A503" s="7"/>
      <c r="B503" s="7"/>
      <c r="C503" s="7"/>
      <c r="D503" s="7"/>
      <c r="E503" s="7"/>
      <c r="F503" s="7"/>
      <c r="G503" s="7"/>
      <c r="H503" s="7"/>
      <c r="I503" s="10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7" customHeight="1">
      <c r="A504" s="7"/>
      <c r="B504" s="7"/>
      <c r="C504" s="7"/>
      <c r="D504" s="7"/>
      <c r="E504" s="7"/>
      <c r="F504" s="7"/>
      <c r="G504" s="7"/>
      <c r="H504" s="7"/>
      <c r="I504" s="10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7" customHeight="1">
      <c r="A505" s="7"/>
      <c r="B505" s="7"/>
      <c r="C505" s="7"/>
      <c r="D505" s="7"/>
      <c r="E505" s="7"/>
      <c r="F505" s="7"/>
      <c r="G505" s="7"/>
      <c r="H505" s="7"/>
      <c r="I505" s="10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7" customHeight="1">
      <c r="A506" s="7"/>
      <c r="B506" s="7"/>
      <c r="C506" s="7"/>
      <c r="D506" s="7"/>
      <c r="E506" s="7"/>
      <c r="F506" s="7"/>
      <c r="G506" s="7"/>
      <c r="H506" s="7"/>
      <c r="I506" s="10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7" customHeight="1">
      <c r="A507" s="7"/>
      <c r="B507" s="7"/>
      <c r="C507" s="7"/>
      <c r="D507" s="7"/>
      <c r="E507" s="7"/>
      <c r="F507" s="7"/>
      <c r="G507" s="7"/>
      <c r="H507" s="7"/>
      <c r="I507" s="10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7" customHeight="1">
      <c r="A508" s="7"/>
      <c r="B508" s="7"/>
      <c r="C508" s="7"/>
      <c r="D508" s="7"/>
      <c r="E508" s="7"/>
      <c r="F508" s="7"/>
      <c r="G508" s="7"/>
      <c r="H508" s="7"/>
      <c r="I508" s="10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7" customHeight="1">
      <c r="A509" s="7"/>
      <c r="B509" s="7"/>
      <c r="C509" s="7"/>
      <c r="D509" s="7"/>
      <c r="E509" s="7"/>
      <c r="F509" s="7"/>
      <c r="G509" s="7"/>
      <c r="H509" s="7"/>
      <c r="I509" s="10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7" customHeight="1">
      <c r="A510" s="7"/>
      <c r="B510" s="7"/>
      <c r="C510" s="7"/>
      <c r="D510" s="7"/>
      <c r="E510" s="7"/>
      <c r="F510" s="7"/>
      <c r="G510" s="7"/>
      <c r="H510" s="7"/>
      <c r="I510" s="10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7" customHeight="1">
      <c r="A511" s="7"/>
      <c r="B511" s="7"/>
      <c r="C511" s="7"/>
      <c r="D511" s="7"/>
      <c r="E511" s="7"/>
      <c r="F511" s="7"/>
      <c r="G511" s="7"/>
      <c r="H511" s="7"/>
      <c r="I511" s="10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7" customHeight="1">
      <c r="A512" s="7"/>
      <c r="B512" s="7"/>
      <c r="C512" s="7"/>
      <c r="D512" s="7"/>
      <c r="E512" s="7"/>
      <c r="F512" s="7"/>
      <c r="G512" s="7"/>
      <c r="H512" s="7"/>
      <c r="I512" s="10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7" customHeight="1">
      <c r="A513" s="7"/>
      <c r="B513" s="7"/>
      <c r="C513" s="7"/>
      <c r="D513" s="7"/>
      <c r="E513" s="7"/>
      <c r="F513" s="7"/>
      <c r="G513" s="7"/>
      <c r="H513" s="7"/>
      <c r="I513" s="10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7" customHeight="1">
      <c r="A514" s="7"/>
      <c r="B514" s="7"/>
      <c r="C514" s="7"/>
      <c r="D514" s="7"/>
      <c r="E514" s="7"/>
      <c r="F514" s="7"/>
      <c r="G514" s="7"/>
      <c r="H514" s="7"/>
      <c r="I514" s="10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7" customHeight="1">
      <c r="A515" s="7"/>
      <c r="B515" s="7"/>
      <c r="C515" s="7"/>
      <c r="D515" s="7"/>
      <c r="E515" s="7"/>
      <c r="F515" s="7"/>
      <c r="G515" s="7"/>
      <c r="H515" s="7"/>
      <c r="I515" s="10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7" customHeight="1">
      <c r="A516" s="7"/>
      <c r="B516" s="7"/>
      <c r="C516" s="7"/>
      <c r="D516" s="7"/>
      <c r="E516" s="7"/>
      <c r="F516" s="7"/>
      <c r="G516" s="7"/>
      <c r="H516" s="7"/>
      <c r="I516" s="10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7" customHeight="1">
      <c r="A517" s="7"/>
      <c r="B517" s="7"/>
      <c r="C517" s="7"/>
      <c r="D517" s="7"/>
      <c r="E517" s="7"/>
      <c r="F517" s="7"/>
      <c r="G517" s="7"/>
      <c r="H517" s="7"/>
      <c r="I517" s="10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7" customHeight="1">
      <c r="A518" s="7"/>
      <c r="B518" s="7"/>
      <c r="C518" s="7"/>
      <c r="D518" s="7"/>
      <c r="E518" s="7"/>
      <c r="F518" s="7"/>
      <c r="G518" s="7"/>
      <c r="H518" s="7"/>
      <c r="I518" s="10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7" customHeight="1">
      <c r="A519" s="7"/>
      <c r="B519" s="7"/>
      <c r="C519" s="7"/>
      <c r="D519" s="7"/>
      <c r="E519" s="7"/>
      <c r="F519" s="7"/>
      <c r="G519" s="7"/>
      <c r="H519" s="7"/>
      <c r="I519" s="10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7" customHeight="1">
      <c r="A520" s="7"/>
      <c r="B520" s="7"/>
      <c r="C520" s="7"/>
      <c r="D520" s="7"/>
      <c r="E520" s="7"/>
      <c r="F520" s="7"/>
      <c r="G520" s="7"/>
      <c r="H520" s="7"/>
      <c r="I520" s="10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7" customHeight="1">
      <c r="A521" s="7"/>
      <c r="B521" s="7"/>
      <c r="C521" s="7"/>
      <c r="D521" s="7"/>
      <c r="E521" s="7"/>
      <c r="F521" s="7"/>
      <c r="G521" s="7"/>
      <c r="H521" s="7"/>
      <c r="I521" s="10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7" customHeight="1">
      <c r="A522" s="7"/>
      <c r="B522" s="7"/>
      <c r="C522" s="7"/>
      <c r="D522" s="7"/>
      <c r="E522" s="7"/>
      <c r="F522" s="7"/>
      <c r="G522" s="7"/>
      <c r="H522" s="7"/>
      <c r="I522" s="10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7" customHeight="1">
      <c r="A523" s="7"/>
      <c r="B523" s="7"/>
      <c r="C523" s="7"/>
      <c r="D523" s="7"/>
      <c r="E523" s="7"/>
      <c r="F523" s="7"/>
      <c r="G523" s="7"/>
      <c r="H523" s="7"/>
      <c r="I523" s="10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7" customHeight="1">
      <c r="A524" s="7"/>
      <c r="B524" s="7"/>
      <c r="C524" s="7"/>
      <c r="D524" s="7"/>
      <c r="E524" s="7"/>
      <c r="F524" s="7"/>
      <c r="G524" s="7"/>
      <c r="H524" s="7"/>
      <c r="I524" s="10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7" customHeight="1">
      <c r="A525" s="7"/>
      <c r="B525" s="7"/>
      <c r="C525" s="7"/>
      <c r="D525" s="7"/>
      <c r="E525" s="7"/>
      <c r="F525" s="7"/>
      <c r="G525" s="7"/>
      <c r="H525" s="7"/>
      <c r="I525" s="10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7" customHeight="1">
      <c r="A526" s="7"/>
      <c r="B526" s="7"/>
      <c r="C526" s="7"/>
      <c r="D526" s="7"/>
      <c r="E526" s="7"/>
      <c r="F526" s="7"/>
      <c r="G526" s="7"/>
      <c r="H526" s="7"/>
      <c r="I526" s="10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7" customHeight="1">
      <c r="A527" s="7"/>
      <c r="B527" s="7"/>
      <c r="C527" s="7"/>
      <c r="D527" s="7"/>
      <c r="E527" s="7"/>
      <c r="F527" s="7"/>
      <c r="G527" s="7"/>
      <c r="H527" s="7"/>
      <c r="I527" s="10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7" customHeight="1">
      <c r="A528" s="7"/>
      <c r="B528" s="7"/>
      <c r="C528" s="7"/>
      <c r="D528" s="7"/>
      <c r="E528" s="7"/>
      <c r="F528" s="7"/>
      <c r="G528" s="7"/>
      <c r="H528" s="7"/>
      <c r="I528" s="10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7" customHeight="1">
      <c r="A529" s="7"/>
      <c r="B529" s="7"/>
      <c r="C529" s="7"/>
      <c r="D529" s="7"/>
      <c r="E529" s="7"/>
      <c r="F529" s="7"/>
      <c r="G529" s="7"/>
      <c r="H529" s="7"/>
      <c r="I529" s="10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7" customHeight="1">
      <c r="A530" s="7"/>
      <c r="B530" s="7"/>
      <c r="C530" s="7"/>
      <c r="D530" s="7"/>
      <c r="E530" s="7"/>
      <c r="F530" s="7"/>
      <c r="G530" s="7"/>
      <c r="H530" s="7"/>
      <c r="I530" s="10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7" customHeight="1">
      <c r="A531" s="7"/>
      <c r="B531" s="7"/>
      <c r="C531" s="7"/>
      <c r="D531" s="7"/>
      <c r="E531" s="7"/>
      <c r="F531" s="7"/>
      <c r="G531" s="7"/>
      <c r="H531" s="7"/>
      <c r="I531" s="10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7" customHeight="1">
      <c r="A532" s="7"/>
      <c r="B532" s="7"/>
      <c r="C532" s="7"/>
      <c r="D532" s="7"/>
      <c r="E532" s="7"/>
      <c r="F532" s="7"/>
      <c r="G532" s="7"/>
      <c r="H532" s="7"/>
      <c r="I532" s="10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7" customHeight="1">
      <c r="A533" s="7"/>
      <c r="B533" s="7"/>
      <c r="C533" s="7"/>
      <c r="D533" s="7"/>
      <c r="E533" s="7"/>
      <c r="F533" s="7"/>
      <c r="G533" s="7"/>
      <c r="H533" s="7"/>
      <c r="I533" s="10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7" customHeight="1">
      <c r="A534" s="7"/>
      <c r="B534" s="7"/>
      <c r="C534" s="7"/>
      <c r="D534" s="7"/>
      <c r="E534" s="7"/>
      <c r="F534" s="7"/>
      <c r="G534" s="7"/>
      <c r="H534" s="7"/>
      <c r="I534" s="10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7" customHeight="1">
      <c r="A535" s="7"/>
      <c r="B535" s="7"/>
      <c r="C535" s="7"/>
      <c r="D535" s="7"/>
      <c r="E535" s="7"/>
      <c r="F535" s="7"/>
      <c r="G535" s="7"/>
      <c r="H535" s="7"/>
      <c r="I535" s="10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7" customHeight="1">
      <c r="A536" s="7"/>
      <c r="B536" s="7"/>
      <c r="C536" s="7"/>
      <c r="D536" s="7"/>
      <c r="E536" s="7"/>
      <c r="F536" s="7"/>
      <c r="G536" s="7"/>
      <c r="H536" s="7"/>
      <c r="I536" s="10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7" customHeight="1">
      <c r="A537" s="7"/>
      <c r="B537" s="7"/>
      <c r="C537" s="7"/>
      <c r="D537" s="7"/>
      <c r="E537" s="7"/>
      <c r="F537" s="7"/>
      <c r="G537" s="7"/>
      <c r="H537" s="7"/>
      <c r="I537" s="10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7" customHeight="1">
      <c r="A538" s="7"/>
      <c r="B538" s="7"/>
      <c r="C538" s="7"/>
      <c r="D538" s="7"/>
      <c r="E538" s="7"/>
      <c r="F538" s="7"/>
      <c r="G538" s="7"/>
      <c r="H538" s="7"/>
      <c r="I538" s="10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7" customHeight="1">
      <c r="A539" s="7"/>
      <c r="B539" s="7"/>
      <c r="C539" s="7"/>
      <c r="D539" s="7"/>
      <c r="E539" s="7"/>
      <c r="F539" s="7"/>
      <c r="G539" s="7"/>
      <c r="H539" s="7"/>
      <c r="I539" s="10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7" customHeight="1">
      <c r="A540" s="7"/>
      <c r="B540" s="7"/>
      <c r="C540" s="7"/>
      <c r="D540" s="7"/>
      <c r="E540" s="7"/>
      <c r="F540" s="7"/>
      <c r="G540" s="7"/>
      <c r="H540" s="7"/>
      <c r="I540" s="10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7" customHeight="1">
      <c r="A541" s="7"/>
      <c r="B541" s="7"/>
      <c r="C541" s="7"/>
      <c r="D541" s="7"/>
      <c r="E541" s="7"/>
      <c r="F541" s="7"/>
      <c r="G541" s="7"/>
      <c r="H541" s="7"/>
      <c r="I541" s="10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7" customHeight="1">
      <c r="A542" s="7"/>
      <c r="B542" s="7"/>
      <c r="C542" s="7"/>
      <c r="D542" s="7"/>
      <c r="E542" s="7"/>
      <c r="F542" s="7"/>
      <c r="G542" s="7"/>
      <c r="H542" s="7"/>
      <c r="I542" s="10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7" customHeight="1">
      <c r="A543" s="7"/>
      <c r="B543" s="7"/>
      <c r="C543" s="7"/>
      <c r="D543" s="7"/>
      <c r="E543" s="7"/>
      <c r="F543" s="7"/>
      <c r="G543" s="7"/>
      <c r="H543" s="7"/>
      <c r="I543" s="10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7" customHeight="1">
      <c r="A544" s="7"/>
      <c r="B544" s="7"/>
      <c r="C544" s="7"/>
      <c r="D544" s="7"/>
      <c r="E544" s="7"/>
      <c r="F544" s="7"/>
      <c r="G544" s="7"/>
      <c r="H544" s="7"/>
      <c r="I544" s="10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7" customHeight="1">
      <c r="A545" s="7"/>
      <c r="B545" s="7"/>
      <c r="C545" s="7"/>
      <c r="D545" s="7"/>
      <c r="E545" s="7"/>
      <c r="F545" s="7"/>
      <c r="G545" s="7"/>
      <c r="H545" s="7"/>
      <c r="I545" s="10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7" customHeight="1">
      <c r="A546" s="7"/>
      <c r="B546" s="7"/>
      <c r="C546" s="7"/>
      <c r="D546" s="7"/>
      <c r="E546" s="7"/>
      <c r="F546" s="7"/>
      <c r="G546" s="7"/>
      <c r="H546" s="7"/>
      <c r="I546" s="10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7" customHeight="1">
      <c r="A547" s="7"/>
      <c r="B547" s="7"/>
      <c r="C547" s="7"/>
      <c r="D547" s="7"/>
      <c r="E547" s="7"/>
      <c r="F547" s="7"/>
      <c r="G547" s="7"/>
      <c r="H547" s="7"/>
      <c r="I547" s="10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7" customHeight="1">
      <c r="A548" s="7"/>
      <c r="B548" s="7"/>
      <c r="C548" s="7"/>
      <c r="D548" s="7"/>
      <c r="E548" s="7"/>
      <c r="F548" s="7"/>
      <c r="G548" s="7"/>
      <c r="H548" s="7"/>
      <c r="I548" s="10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7" customHeight="1">
      <c r="A549" s="7"/>
      <c r="B549" s="7"/>
      <c r="C549" s="7"/>
      <c r="D549" s="7"/>
      <c r="E549" s="7"/>
      <c r="F549" s="7"/>
      <c r="G549" s="7"/>
      <c r="H549" s="7"/>
      <c r="I549" s="10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7" customHeight="1">
      <c r="A550" s="7"/>
      <c r="B550" s="7"/>
      <c r="C550" s="7"/>
      <c r="D550" s="7"/>
      <c r="E550" s="7"/>
      <c r="F550" s="7"/>
      <c r="G550" s="7"/>
      <c r="H550" s="7"/>
      <c r="I550" s="10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7" customHeight="1">
      <c r="A551" s="7"/>
      <c r="B551" s="7"/>
      <c r="C551" s="7"/>
      <c r="D551" s="7"/>
      <c r="E551" s="7"/>
      <c r="F551" s="7"/>
      <c r="G551" s="7"/>
      <c r="H551" s="7"/>
      <c r="I551" s="10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7" customHeight="1">
      <c r="A552" s="7"/>
      <c r="B552" s="7"/>
      <c r="C552" s="7"/>
      <c r="D552" s="7"/>
      <c r="E552" s="7"/>
      <c r="F552" s="7"/>
      <c r="G552" s="7"/>
      <c r="H552" s="7"/>
      <c r="I552" s="10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7" customHeight="1">
      <c r="A553" s="7"/>
      <c r="B553" s="7"/>
      <c r="C553" s="7"/>
      <c r="D553" s="7"/>
      <c r="E553" s="7"/>
      <c r="F553" s="7"/>
      <c r="G553" s="7"/>
      <c r="H553" s="7"/>
      <c r="I553" s="10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7" customHeight="1">
      <c r="A554" s="7"/>
      <c r="B554" s="7"/>
      <c r="C554" s="7"/>
      <c r="D554" s="7"/>
      <c r="E554" s="7"/>
      <c r="F554" s="7"/>
      <c r="G554" s="7"/>
      <c r="H554" s="7"/>
      <c r="I554" s="10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7" customHeight="1">
      <c r="A555" s="7"/>
      <c r="B555" s="7"/>
      <c r="C555" s="7"/>
      <c r="D555" s="7"/>
      <c r="E555" s="7"/>
      <c r="F555" s="7"/>
      <c r="G555" s="7"/>
      <c r="H555" s="7"/>
      <c r="I555" s="10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7" customHeight="1">
      <c r="A556" s="7"/>
      <c r="B556" s="7"/>
      <c r="C556" s="7"/>
      <c r="D556" s="7"/>
      <c r="E556" s="7"/>
      <c r="F556" s="7"/>
      <c r="G556" s="7"/>
      <c r="H556" s="7"/>
      <c r="I556" s="10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7" customHeight="1">
      <c r="A557" s="7"/>
      <c r="B557" s="7"/>
      <c r="C557" s="7"/>
      <c r="D557" s="7"/>
      <c r="E557" s="7"/>
      <c r="F557" s="7"/>
      <c r="G557" s="7"/>
      <c r="H557" s="7"/>
      <c r="I557" s="10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7" customHeight="1">
      <c r="A558" s="7"/>
      <c r="B558" s="7"/>
      <c r="C558" s="7"/>
      <c r="D558" s="7"/>
      <c r="E558" s="7"/>
      <c r="F558" s="7"/>
      <c r="G558" s="7"/>
      <c r="H558" s="7"/>
      <c r="I558" s="10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7" customHeight="1">
      <c r="A559" s="7"/>
      <c r="B559" s="7"/>
      <c r="C559" s="7"/>
      <c r="D559" s="7"/>
      <c r="E559" s="7"/>
      <c r="F559" s="7"/>
      <c r="G559" s="7"/>
      <c r="H559" s="7"/>
      <c r="I559" s="10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7" customHeight="1">
      <c r="A560" s="7"/>
      <c r="B560" s="7"/>
      <c r="C560" s="7"/>
      <c r="D560" s="7"/>
      <c r="E560" s="7"/>
      <c r="F560" s="7"/>
      <c r="G560" s="7"/>
      <c r="H560" s="7"/>
      <c r="I560" s="10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7" customHeight="1">
      <c r="A561" s="7"/>
      <c r="B561" s="7"/>
      <c r="C561" s="7"/>
      <c r="D561" s="7"/>
      <c r="E561" s="7"/>
      <c r="F561" s="7"/>
      <c r="G561" s="7"/>
      <c r="H561" s="7"/>
      <c r="I561" s="10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7" customHeight="1">
      <c r="A562" s="7"/>
      <c r="B562" s="7"/>
      <c r="C562" s="7"/>
      <c r="D562" s="7"/>
      <c r="E562" s="7"/>
      <c r="F562" s="7"/>
      <c r="G562" s="7"/>
      <c r="H562" s="7"/>
      <c r="I562" s="10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7" customHeight="1">
      <c r="A563" s="7"/>
      <c r="B563" s="7"/>
      <c r="C563" s="7"/>
      <c r="D563" s="7"/>
      <c r="E563" s="7"/>
      <c r="F563" s="7"/>
      <c r="G563" s="7"/>
      <c r="H563" s="7"/>
      <c r="I563" s="10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7" customHeight="1">
      <c r="A564" s="7"/>
      <c r="B564" s="7"/>
      <c r="C564" s="7"/>
      <c r="D564" s="7"/>
      <c r="E564" s="7"/>
      <c r="F564" s="7"/>
      <c r="G564" s="7"/>
      <c r="H564" s="7"/>
      <c r="I564" s="10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7" customHeight="1">
      <c r="A565" s="7"/>
      <c r="B565" s="7"/>
      <c r="C565" s="7"/>
      <c r="D565" s="7"/>
      <c r="E565" s="7"/>
      <c r="F565" s="7"/>
      <c r="G565" s="7"/>
      <c r="H565" s="7"/>
      <c r="I565" s="10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7" customHeight="1">
      <c r="A566" s="7"/>
      <c r="B566" s="7"/>
      <c r="C566" s="7"/>
      <c r="D566" s="7"/>
      <c r="E566" s="7"/>
      <c r="F566" s="7"/>
      <c r="G566" s="7"/>
      <c r="H566" s="7"/>
      <c r="I566" s="10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7" customHeight="1">
      <c r="A567" s="7"/>
      <c r="B567" s="7"/>
      <c r="C567" s="7"/>
      <c r="D567" s="7"/>
      <c r="E567" s="7"/>
      <c r="F567" s="7"/>
      <c r="G567" s="7"/>
      <c r="H567" s="7"/>
      <c r="I567" s="10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7" customHeight="1">
      <c r="A568" s="7"/>
      <c r="B568" s="7"/>
      <c r="C568" s="7"/>
      <c r="D568" s="7"/>
      <c r="E568" s="7"/>
      <c r="F568" s="7"/>
      <c r="G568" s="7"/>
      <c r="H568" s="7"/>
      <c r="I568" s="10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7" customHeight="1">
      <c r="A569" s="7"/>
      <c r="B569" s="7"/>
      <c r="C569" s="7"/>
      <c r="D569" s="7"/>
      <c r="E569" s="7"/>
      <c r="F569" s="7"/>
      <c r="G569" s="7"/>
      <c r="H569" s="7"/>
      <c r="I569" s="10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7" customHeight="1">
      <c r="A570" s="7"/>
      <c r="B570" s="7"/>
      <c r="C570" s="7"/>
      <c r="D570" s="7"/>
      <c r="E570" s="7"/>
      <c r="F570" s="7"/>
      <c r="G570" s="7"/>
      <c r="H570" s="7"/>
      <c r="I570" s="10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7" customHeight="1">
      <c r="A571" s="7"/>
      <c r="B571" s="7"/>
      <c r="C571" s="7"/>
      <c r="D571" s="7"/>
      <c r="E571" s="7"/>
      <c r="F571" s="7"/>
      <c r="G571" s="7"/>
      <c r="H571" s="7"/>
      <c r="I571" s="10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7" customHeight="1">
      <c r="A572" s="7"/>
      <c r="B572" s="7"/>
      <c r="C572" s="7"/>
      <c r="D572" s="7"/>
      <c r="E572" s="7"/>
      <c r="F572" s="7"/>
      <c r="G572" s="7"/>
      <c r="H572" s="7"/>
      <c r="I572" s="10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7" customHeight="1">
      <c r="A573" s="7"/>
      <c r="B573" s="7"/>
      <c r="C573" s="7"/>
      <c r="D573" s="7"/>
      <c r="E573" s="7"/>
      <c r="F573" s="7"/>
      <c r="G573" s="7"/>
      <c r="H573" s="7"/>
      <c r="I573" s="10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7" customHeight="1">
      <c r="A574" s="7"/>
      <c r="B574" s="7"/>
      <c r="C574" s="7"/>
      <c r="D574" s="7"/>
      <c r="E574" s="7"/>
      <c r="F574" s="7"/>
      <c r="G574" s="7"/>
      <c r="H574" s="7"/>
      <c r="I574" s="10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7" customHeight="1">
      <c r="A575" s="7"/>
      <c r="B575" s="7"/>
      <c r="C575" s="7"/>
      <c r="D575" s="7"/>
      <c r="E575" s="7"/>
      <c r="F575" s="7"/>
      <c r="G575" s="7"/>
      <c r="H575" s="7"/>
      <c r="I575" s="10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7" customHeight="1">
      <c r="A576" s="7"/>
      <c r="B576" s="7"/>
      <c r="C576" s="7"/>
      <c r="D576" s="7"/>
      <c r="E576" s="7"/>
      <c r="F576" s="7"/>
      <c r="G576" s="7"/>
      <c r="H576" s="7"/>
      <c r="I576" s="10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7" customHeight="1">
      <c r="A577" s="7"/>
      <c r="B577" s="7"/>
      <c r="C577" s="7"/>
      <c r="D577" s="7"/>
      <c r="E577" s="7"/>
      <c r="F577" s="7"/>
      <c r="G577" s="7"/>
      <c r="H577" s="7"/>
      <c r="I577" s="10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7" customHeight="1">
      <c r="A578" s="7"/>
      <c r="B578" s="7"/>
      <c r="C578" s="7"/>
      <c r="D578" s="7"/>
      <c r="E578" s="7"/>
      <c r="F578" s="7"/>
      <c r="G578" s="7"/>
      <c r="H578" s="7"/>
      <c r="I578" s="10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7" customHeight="1">
      <c r="A579" s="7"/>
      <c r="B579" s="7"/>
      <c r="C579" s="7"/>
      <c r="D579" s="7"/>
      <c r="E579" s="7"/>
      <c r="F579" s="7"/>
      <c r="G579" s="7"/>
      <c r="H579" s="7"/>
      <c r="I579" s="10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7" customHeight="1">
      <c r="A580" s="7"/>
      <c r="B580" s="7"/>
      <c r="C580" s="7"/>
      <c r="D580" s="7"/>
      <c r="E580" s="7"/>
      <c r="F580" s="7"/>
      <c r="G580" s="7"/>
      <c r="H580" s="7"/>
      <c r="I580" s="10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7" customHeight="1">
      <c r="A581" s="7"/>
      <c r="B581" s="7"/>
      <c r="C581" s="7"/>
      <c r="D581" s="7"/>
      <c r="E581" s="7"/>
      <c r="F581" s="7"/>
      <c r="G581" s="7"/>
      <c r="H581" s="7"/>
      <c r="I581" s="10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7" customHeight="1">
      <c r="A582" s="7"/>
      <c r="B582" s="7"/>
      <c r="C582" s="7"/>
      <c r="D582" s="7"/>
      <c r="E582" s="7"/>
      <c r="F582" s="7"/>
      <c r="G582" s="7"/>
      <c r="H582" s="7"/>
      <c r="I582" s="10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7" customHeight="1">
      <c r="A583" s="7"/>
      <c r="B583" s="7"/>
      <c r="C583" s="7"/>
      <c r="D583" s="7"/>
      <c r="E583" s="7"/>
      <c r="F583" s="7"/>
      <c r="G583" s="7"/>
      <c r="H583" s="7"/>
      <c r="I583" s="10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7" customHeight="1">
      <c r="A584" s="7"/>
      <c r="B584" s="7"/>
      <c r="C584" s="7"/>
      <c r="D584" s="7"/>
      <c r="E584" s="7"/>
      <c r="F584" s="7"/>
      <c r="G584" s="7"/>
      <c r="H584" s="7"/>
      <c r="I584" s="10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7" customHeight="1">
      <c r="A585" s="7"/>
      <c r="B585" s="7"/>
      <c r="C585" s="7"/>
      <c r="D585" s="7"/>
      <c r="E585" s="7"/>
      <c r="F585" s="7"/>
      <c r="G585" s="7"/>
      <c r="H585" s="7"/>
      <c r="I585" s="10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7" customHeight="1">
      <c r="A586" s="7"/>
      <c r="B586" s="7"/>
      <c r="C586" s="7"/>
      <c r="D586" s="7"/>
      <c r="E586" s="7"/>
      <c r="F586" s="7"/>
      <c r="G586" s="7"/>
      <c r="H586" s="7"/>
      <c r="I586" s="10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7" customHeight="1">
      <c r="A587" s="7"/>
      <c r="B587" s="7"/>
      <c r="C587" s="7"/>
      <c r="D587" s="7"/>
      <c r="E587" s="7"/>
      <c r="F587" s="7"/>
      <c r="G587" s="7"/>
      <c r="H587" s="7"/>
      <c r="I587" s="10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7" customHeight="1">
      <c r="A588" s="7"/>
      <c r="B588" s="7"/>
      <c r="C588" s="7"/>
      <c r="D588" s="7"/>
      <c r="E588" s="7"/>
      <c r="F588" s="7"/>
      <c r="G588" s="7"/>
      <c r="H588" s="7"/>
      <c r="I588" s="10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7" customHeight="1">
      <c r="A589" s="7"/>
      <c r="B589" s="7"/>
      <c r="C589" s="7"/>
      <c r="D589" s="7"/>
      <c r="E589" s="7"/>
      <c r="F589" s="7"/>
      <c r="G589" s="7"/>
      <c r="H589" s="7"/>
      <c r="I589" s="10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7" customHeight="1">
      <c r="A590" s="7"/>
      <c r="B590" s="7"/>
      <c r="C590" s="7"/>
      <c r="D590" s="7"/>
      <c r="E590" s="7"/>
      <c r="F590" s="7"/>
      <c r="G590" s="7"/>
      <c r="H590" s="7"/>
      <c r="I590" s="10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7" customHeight="1">
      <c r="A591" s="7"/>
      <c r="B591" s="7"/>
      <c r="C591" s="7"/>
      <c r="D591" s="7"/>
      <c r="E591" s="7"/>
      <c r="F591" s="7"/>
      <c r="G591" s="7"/>
      <c r="H591" s="7"/>
      <c r="I591" s="10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7" customHeight="1">
      <c r="A592" s="7"/>
      <c r="B592" s="7"/>
      <c r="C592" s="7"/>
      <c r="D592" s="7"/>
      <c r="E592" s="7"/>
      <c r="F592" s="7"/>
      <c r="G592" s="7"/>
      <c r="H592" s="7"/>
      <c r="I592" s="10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7" customHeight="1">
      <c r="A593" s="7"/>
      <c r="B593" s="7"/>
      <c r="C593" s="7"/>
      <c r="D593" s="7"/>
      <c r="E593" s="7"/>
      <c r="F593" s="7"/>
      <c r="G593" s="7"/>
      <c r="H593" s="7"/>
      <c r="I593" s="10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7" customHeight="1">
      <c r="A594" s="7"/>
      <c r="B594" s="7"/>
      <c r="C594" s="7"/>
      <c r="D594" s="7"/>
      <c r="E594" s="7"/>
      <c r="F594" s="7"/>
      <c r="G594" s="7"/>
      <c r="H594" s="7"/>
      <c r="I594" s="10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7" customHeight="1">
      <c r="A595" s="7"/>
      <c r="B595" s="7"/>
      <c r="C595" s="7"/>
      <c r="D595" s="7"/>
      <c r="E595" s="7"/>
      <c r="F595" s="7"/>
      <c r="G595" s="7"/>
      <c r="H595" s="7"/>
      <c r="I595" s="10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7" customHeight="1">
      <c r="A596" s="7"/>
      <c r="B596" s="7"/>
      <c r="C596" s="7"/>
      <c r="D596" s="7"/>
      <c r="E596" s="7"/>
      <c r="F596" s="7"/>
      <c r="G596" s="7"/>
      <c r="H596" s="7"/>
      <c r="I596" s="10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7" customHeight="1">
      <c r="A597" s="7"/>
      <c r="B597" s="7"/>
      <c r="C597" s="7"/>
      <c r="D597" s="7"/>
      <c r="E597" s="7"/>
      <c r="F597" s="7"/>
      <c r="G597" s="7"/>
      <c r="H597" s="7"/>
      <c r="I597" s="10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7" customHeight="1">
      <c r="A598" s="7"/>
      <c r="B598" s="7"/>
      <c r="C598" s="7"/>
      <c r="D598" s="7"/>
      <c r="E598" s="7"/>
      <c r="F598" s="7"/>
      <c r="G598" s="7"/>
      <c r="H598" s="7"/>
      <c r="I598" s="10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7" customHeight="1">
      <c r="A599" s="7"/>
      <c r="B599" s="7"/>
      <c r="C599" s="7"/>
      <c r="D599" s="7"/>
      <c r="E599" s="7"/>
      <c r="F599" s="7"/>
      <c r="G599" s="7"/>
      <c r="H599" s="7"/>
      <c r="I599" s="10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7" customHeight="1">
      <c r="A600" s="7"/>
      <c r="B600" s="7"/>
      <c r="C600" s="7"/>
      <c r="D600" s="7"/>
      <c r="E600" s="7"/>
      <c r="F600" s="7"/>
      <c r="G600" s="7"/>
      <c r="H600" s="7"/>
      <c r="I600" s="10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7" customHeight="1">
      <c r="A601" s="7"/>
      <c r="B601" s="7"/>
      <c r="C601" s="7"/>
      <c r="D601" s="7"/>
      <c r="E601" s="7"/>
      <c r="F601" s="7"/>
      <c r="G601" s="7"/>
      <c r="H601" s="7"/>
      <c r="I601" s="10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7" customHeight="1">
      <c r="A602" s="7"/>
      <c r="B602" s="7"/>
      <c r="C602" s="7"/>
      <c r="D602" s="7"/>
      <c r="E602" s="7"/>
      <c r="F602" s="7"/>
      <c r="G602" s="7"/>
      <c r="H602" s="7"/>
      <c r="I602" s="10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7" customHeight="1">
      <c r="A603" s="7"/>
      <c r="B603" s="7"/>
      <c r="C603" s="7"/>
      <c r="D603" s="7"/>
      <c r="E603" s="7"/>
      <c r="F603" s="7"/>
      <c r="G603" s="7"/>
      <c r="H603" s="7"/>
      <c r="I603" s="10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7" customHeight="1">
      <c r="A604" s="7"/>
      <c r="B604" s="7"/>
      <c r="C604" s="7"/>
      <c r="D604" s="7"/>
      <c r="E604" s="7"/>
      <c r="F604" s="7"/>
      <c r="G604" s="7"/>
      <c r="H604" s="7"/>
      <c r="I604" s="10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7" customHeight="1">
      <c r="A605" s="7"/>
      <c r="B605" s="7"/>
      <c r="C605" s="7"/>
      <c r="D605" s="7"/>
      <c r="E605" s="7"/>
      <c r="F605" s="7"/>
      <c r="G605" s="7"/>
      <c r="H605" s="7"/>
      <c r="I605" s="10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7" customHeight="1">
      <c r="A606" s="7"/>
      <c r="B606" s="7"/>
      <c r="C606" s="7"/>
      <c r="D606" s="7"/>
      <c r="E606" s="7"/>
      <c r="F606" s="7"/>
      <c r="G606" s="7"/>
      <c r="H606" s="7"/>
      <c r="I606" s="10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7" customHeight="1">
      <c r="A607" s="7"/>
      <c r="B607" s="7"/>
      <c r="C607" s="7"/>
      <c r="D607" s="7"/>
      <c r="E607" s="7"/>
      <c r="F607" s="7"/>
      <c r="G607" s="7"/>
      <c r="H607" s="7"/>
      <c r="I607" s="10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7" customHeight="1">
      <c r="A608" s="7"/>
      <c r="B608" s="7"/>
      <c r="C608" s="7"/>
      <c r="D608" s="7"/>
      <c r="E608" s="7"/>
      <c r="F608" s="7"/>
      <c r="G608" s="7"/>
      <c r="H608" s="7"/>
      <c r="I608" s="10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7" customHeight="1">
      <c r="A609" s="7"/>
      <c r="B609" s="7"/>
      <c r="C609" s="7"/>
      <c r="D609" s="7"/>
      <c r="E609" s="7"/>
      <c r="F609" s="7"/>
      <c r="G609" s="7"/>
      <c r="H609" s="7"/>
      <c r="I609" s="10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7" customHeight="1">
      <c r="A610" s="7"/>
      <c r="B610" s="7"/>
      <c r="C610" s="7"/>
      <c r="D610" s="7"/>
      <c r="E610" s="7"/>
      <c r="F610" s="7"/>
      <c r="G610" s="7"/>
      <c r="H610" s="7"/>
      <c r="I610" s="10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7" customHeight="1">
      <c r="A611" s="7"/>
      <c r="B611" s="7"/>
      <c r="C611" s="7"/>
      <c r="D611" s="7"/>
      <c r="E611" s="7"/>
      <c r="F611" s="7"/>
      <c r="G611" s="7"/>
      <c r="H611" s="7"/>
      <c r="I611" s="10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7" customHeight="1">
      <c r="A612" s="7"/>
      <c r="B612" s="7"/>
      <c r="C612" s="7"/>
      <c r="D612" s="7"/>
      <c r="E612" s="7"/>
      <c r="F612" s="7"/>
      <c r="G612" s="7"/>
      <c r="H612" s="7"/>
      <c r="I612" s="10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7" customHeight="1">
      <c r="A613" s="7"/>
      <c r="B613" s="7"/>
      <c r="C613" s="7"/>
      <c r="D613" s="7"/>
      <c r="E613" s="7"/>
      <c r="F613" s="7"/>
      <c r="G613" s="7"/>
      <c r="H613" s="7"/>
      <c r="I613" s="10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7" customHeight="1">
      <c r="A614" s="7"/>
      <c r="B614" s="7"/>
      <c r="C614" s="7"/>
      <c r="D614" s="7"/>
      <c r="E614" s="7"/>
      <c r="F614" s="7"/>
      <c r="G614" s="7"/>
      <c r="H614" s="7"/>
      <c r="I614" s="10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7" customHeight="1">
      <c r="A615" s="7"/>
      <c r="B615" s="7"/>
      <c r="C615" s="7"/>
      <c r="D615" s="7"/>
      <c r="E615" s="7"/>
      <c r="F615" s="7"/>
      <c r="G615" s="7"/>
      <c r="H615" s="7"/>
      <c r="I615" s="10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7" customHeight="1">
      <c r="A616" s="7"/>
      <c r="B616" s="7"/>
      <c r="C616" s="7"/>
      <c r="D616" s="7"/>
      <c r="E616" s="7"/>
      <c r="F616" s="7"/>
      <c r="G616" s="7"/>
      <c r="H616" s="7"/>
      <c r="I616" s="10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7" customHeight="1">
      <c r="A617" s="7"/>
      <c r="B617" s="7"/>
      <c r="C617" s="7"/>
      <c r="D617" s="7"/>
      <c r="E617" s="7"/>
      <c r="F617" s="7"/>
      <c r="G617" s="7"/>
      <c r="H617" s="7"/>
      <c r="I617" s="10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7" customHeight="1">
      <c r="A618" s="7"/>
      <c r="B618" s="7"/>
      <c r="C618" s="7"/>
      <c r="D618" s="7"/>
      <c r="E618" s="7"/>
      <c r="F618" s="7"/>
      <c r="G618" s="7"/>
      <c r="H618" s="7"/>
      <c r="I618" s="10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7" customHeight="1">
      <c r="A619" s="7"/>
      <c r="B619" s="7"/>
      <c r="C619" s="7"/>
      <c r="D619" s="7"/>
      <c r="E619" s="7"/>
      <c r="F619" s="7"/>
      <c r="G619" s="7"/>
      <c r="H619" s="7"/>
      <c r="I619" s="10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7" customHeight="1">
      <c r="A620" s="7"/>
      <c r="B620" s="7"/>
      <c r="C620" s="7"/>
      <c r="D620" s="7"/>
      <c r="E620" s="7"/>
      <c r="F620" s="7"/>
      <c r="G620" s="7"/>
      <c r="H620" s="7"/>
      <c r="I620" s="10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7" customHeight="1">
      <c r="A621" s="7"/>
      <c r="B621" s="7"/>
      <c r="C621" s="7"/>
      <c r="D621" s="7"/>
      <c r="E621" s="7"/>
      <c r="F621" s="7"/>
      <c r="G621" s="7"/>
      <c r="H621" s="7"/>
      <c r="I621" s="10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7" customHeight="1">
      <c r="A622" s="7"/>
      <c r="B622" s="7"/>
      <c r="C622" s="7"/>
      <c r="D622" s="7"/>
      <c r="E622" s="7"/>
      <c r="F622" s="7"/>
      <c r="G622" s="7"/>
      <c r="H622" s="7"/>
      <c r="I622" s="10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7" customHeight="1">
      <c r="A623" s="7"/>
      <c r="B623" s="7"/>
      <c r="C623" s="7"/>
      <c r="D623" s="7"/>
      <c r="E623" s="7"/>
      <c r="F623" s="7"/>
      <c r="G623" s="7"/>
      <c r="H623" s="7"/>
      <c r="I623" s="10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7" customHeight="1">
      <c r="A624" s="7"/>
      <c r="B624" s="7"/>
      <c r="C624" s="7"/>
      <c r="D624" s="7"/>
      <c r="E624" s="7"/>
      <c r="F624" s="7"/>
      <c r="G624" s="7"/>
      <c r="H624" s="7"/>
      <c r="I624" s="10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7" customHeight="1">
      <c r="A625" s="7"/>
      <c r="B625" s="7"/>
      <c r="C625" s="7"/>
      <c r="D625" s="7"/>
      <c r="E625" s="7"/>
      <c r="F625" s="7"/>
      <c r="G625" s="7"/>
      <c r="H625" s="7"/>
      <c r="I625" s="10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7" customHeight="1">
      <c r="A626" s="7"/>
      <c r="B626" s="7"/>
      <c r="C626" s="7"/>
      <c r="D626" s="7"/>
      <c r="E626" s="7"/>
      <c r="F626" s="7"/>
      <c r="G626" s="7"/>
      <c r="H626" s="7"/>
      <c r="I626" s="10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7" customHeight="1">
      <c r="A627" s="7"/>
      <c r="B627" s="7"/>
      <c r="C627" s="7"/>
      <c r="D627" s="7"/>
      <c r="E627" s="7"/>
      <c r="F627" s="7"/>
      <c r="G627" s="7"/>
      <c r="H627" s="7"/>
      <c r="I627" s="10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7" customHeight="1">
      <c r="A628" s="7"/>
      <c r="B628" s="7"/>
      <c r="C628" s="7"/>
      <c r="D628" s="7"/>
      <c r="E628" s="7"/>
      <c r="F628" s="7"/>
      <c r="G628" s="7"/>
      <c r="H628" s="7"/>
      <c r="I628" s="10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7" customHeight="1">
      <c r="A629" s="7"/>
      <c r="B629" s="7"/>
      <c r="C629" s="7"/>
      <c r="D629" s="7"/>
      <c r="E629" s="7"/>
      <c r="F629" s="7"/>
      <c r="G629" s="7"/>
      <c r="H629" s="7"/>
      <c r="I629" s="10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7" customHeight="1">
      <c r="A630" s="7"/>
      <c r="B630" s="7"/>
      <c r="C630" s="7"/>
      <c r="D630" s="7"/>
      <c r="E630" s="7"/>
      <c r="F630" s="7"/>
      <c r="G630" s="7"/>
      <c r="H630" s="7"/>
      <c r="I630" s="10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7" customHeight="1">
      <c r="A631" s="7"/>
      <c r="B631" s="7"/>
      <c r="C631" s="7"/>
      <c r="D631" s="7"/>
      <c r="E631" s="7"/>
      <c r="F631" s="7"/>
      <c r="G631" s="7"/>
      <c r="H631" s="7"/>
      <c r="I631" s="10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7" customHeight="1">
      <c r="A632" s="7"/>
      <c r="B632" s="7"/>
      <c r="C632" s="7"/>
      <c r="D632" s="7"/>
      <c r="E632" s="7"/>
      <c r="F632" s="7"/>
      <c r="G632" s="7"/>
      <c r="H632" s="7"/>
      <c r="I632" s="10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7" customHeight="1">
      <c r="A633" s="7"/>
      <c r="B633" s="7"/>
      <c r="C633" s="7"/>
      <c r="D633" s="7"/>
      <c r="E633" s="7"/>
      <c r="F633" s="7"/>
      <c r="G633" s="7"/>
      <c r="H633" s="7"/>
      <c r="I633" s="10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7" customHeight="1">
      <c r="A634" s="7"/>
      <c r="B634" s="7"/>
      <c r="C634" s="7"/>
      <c r="D634" s="7"/>
      <c r="E634" s="7"/>
      <c r="F634" s="7"/>
      <c r="G634" s="7"/>
      <c r="H634" s="7"/>
      <c r="I634" s="10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7" customHeight="1">
      <c r="A635" s="7"/>
      <c r="B635" s="7"/>
      <c r="C635" s="7"/>
      <c r="D635" s="7"/>
      <c r="E635" s="7"/>
      <c r="F635" s="7"/>
      <c r="G635" s="7"/>
      <c r="H635" s="7"/>
      <c r="I635" s="10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7" customHeight="1">
      <c r="A636" s="7"/>
      <c r="B636" s="7"/>
      <c r="C636" s="7"/>
      <c r="D636" s="7"/>
      <c r="E636" s="7"/>
      <c r="F636" s="7"/>
      <c r="G636" s="7"/>
      <c r="H636" s="7"/>
      <c r="I636" s="10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7" customHeight="1">
      <c r="A637" s="7"/>
      <c r="B637" s="7"/>
      <c r="C637" s="7"/>
      <c r="D637" s="7"/>
      <c r="E637" s="7"/>
      <c r="F637" s="7"/>
      <c r="G637" s="7"/>
      <c r="H637" s="7"/>
      <c r="I637" s="10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7" customHeight="1">
      <c r="A638" s="7"/>
      <c r="B638" s="7"/>
      <c r="C638" s="7"/>
      <c r="D638" s="7"/>
      <c r="E638" s="7"/>
      <c r="F638" s="7"/>
      <c r="G638" s="7"/>
      <c r="H638" s="7"/>
      <c r="I638" s="10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7" customHeight="1">
      <c r="A639" s="7"/>
      <c r="B639" s="7"/>
      <c r="C639" s="7"/>
      <c r="D639" s="7"/>
      <c r="E639" s="7"/>
      <c r="F639" s="7"/>
      <c r="G639" s="7"/>
      <c r="H639" s="7"/>
      <c r="I639" s="10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7" customHeight="1">
      <c r="A640" s="7"/>
      <c r="B640" s="7"/>
      <c r="C640" s="7"/>
      <c r="D640" s="7"/>
      <c r="E640" s="7"/>
      <c r="F640" s="7"/>
      <c r="G640" s="7"/>
      <c r="H640" s="7"/>
      <c r="I640" s="10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7" customHeight="1">
      <c r="A641" s="7"/>
      <c r="B641" s="7"/>
      <c r="C641" s="7"/>
      <c r="D641" s="7"/>
      <c r="E641" s="7"/>
      <c r="F641" s="7"/>
      <c r="G641" s="7"/>
      <c r="H641" s="7"/>
      <c r="I641" s="10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7" customHeight="1">
      <c r="A642" s="7"/>
      <c r="B642" s="7"/>
      <c r="C642" s="7"/>
      <c r="D642" s="7"/>
      <c r="E642" s="7"/>
      <c r="F642" s="7"/>
      <c r="G642" s="7"/>
      <c r="H642" s="7"/>
      <c r="I642" s="10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7" customHeight="1">
      <c r="A643" s="7"/>
      <c r="B643" s="7"/>
      <c r="C643" s="7"/>
      <c r="D643" s="7"/>
      <c r="E643" s="7"/>
      <c r="F643" s="7"/>
      <c r="G643" s="7"/>
      <c r="H643" s="7"/>
      <c r="I643" s="10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7" customHeight="1">
      <c r="A644" s="7"/>
      <c r="B644" s="7"/>
      <c r="C644" s="7"/>
      <c r="D644" s="7"/>
      <c r="E644" s="7"/>
      <c r="F644" s="7"/>
      <c r="G644" s="7"/>
      <c r="H644" s="7"/>
      <c r="I644" s="10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7" customHeight="1">
      <c r="A645" s="7"/>
      <c r="B645" s="7"/>
      <c r="C645" s="7"/>
      <c r="D645" s="7"/>
      <c r="E645" s="7"/>
      <c r="F645" s="7"/>
      <c r="G645" s="7"/>
      <c r="H645" s="7"/>
      <c r="I645" s="10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7" customHeight="1">
      <c r="A646" s="7"/>
      <c r="B646" s="7"/>
      <c r="C646" s="7"/>
      <c r="D646" s="7"/>
      <c r="E646" s="7"/>
      <c r="F646" s="7"/>
      <c r="G646" s="7"/>
      <c r="H646" s="7"/>
      <c r="I646" s="10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7" customHeight="1">
      <c r="A647" s="7"/>
      <c r="B647" s="7"/>
      <c r="C647" s="7"/>
      <c r="D647" s="7"/>
      <c r="E647" s="7"/>
      <c r="F647" s="7"/>
      <c r="G647" s="7"/>
      <c r="H647" s="7"/>
      <c r="I647" s="10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7" customHeight="1">
      <c r="A648" s="7"/>
      <c r="B648" s="7"/>
      <c r="C648" s="7"/>
      <c r="D648" s="7"/>
      <c r="E648" s="7"/>
      <c r="F648" s="7"/>
      <c r="G648" s="7"/>
      <c r="H648" s="7"/>
      <c r="I648" s="10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7" customHeight="1">
      <c r="A649" s="7"/>
      <c r="B649" s="7"/>
      <c r="C649" s="7"/>
      <c r="D649" s="7"/>
      <c r="E649" s="7"/>
      <c r="F649" s="7"/>
      <c r="G649" s="7"/>
      <c r="H649" s="7"/>
      <c r="I649" s="10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7" customHeight="1">
      <c r="A650" s="7"/>
      <c r="B650" s="7"/>
      <c r="C650" s="7"/>
      <c r="D650" s="7"/>
      <c r="E650" s="7"/>
      <c r="F650" s="7"/>
      <c r="G650" s="7"/>
      <c r="H650" s="7"/>
      <c r="I650" s="10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7" customHeight="1">
      <c r="A651" s="7"/>
      <c r="B651" s="7"/>
      <c r="C651" s="7"/>
      <c r="D651" s="7"/>
      <c r="E651" s="7"/>
      <c r="F651" s="7"/>
      <c r="G651" s="7"/>
      <c r="H651" s="7"/>
      <c r="I651" s="10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7" customHeight="1">
      <c r="A652" s="7"/>
      <c r="B652" s="7"/>
      <c r="C652" s="7"/>
      <c r="D652" s="7"/>
      <c r="E652" s="7"/>
      <c r="F652" s="7"/>
      <c r="G652" s="7"/>
      <c r="H652" s="7"/>
      <c r="I652" s="10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7" customHeight="1">
      <c r="A653" s="7"/>
      <c r="B653" s="7"/>
      <c r="C653" s="7"/>
      <c r="D653" s="7"/>
      <c r="E653" s="7"/>
      <c r="F653" s="7"/>
      <c r="G653" s="7"/>
      <c r="H653" s="7"/>
      <c r="I653" s="10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7" customHeight="1">
      <c r="A654" s="7"/>
      <c r="B654" s="7"/>
      <c r="C654" s="7"/>
      <c r="D654" s="7"/>
      <c r="E654" s="7"/>
      <c r="F654" s="7"/>
      <c r="G654" s="7"/>
      <c r="H654" s="7"/>
      <c r="I654" s="10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7" customHeight="1">
      <c r="A655" s="7"/>
      <c r="B655" s="7"/>
      <c r="C655" s="7"/>
      <c r="D655" s="7"/>
      <c r="E655" s="7"/>
      <c r="F655" s="7"/>
      <c r="G655" s="7"/>
      <c r="H655" s="7"/>
      <c r="I655" s="10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7" customHeight="1">
      <c r="A656" s="7"/>
      <c r="B656" s="7"/>
      <c r="C656" s="7"/>
      <c r="D656" s="7"/>
      <c r="E656" s="7"/>
      <c r="F656" s="7"/>
      <c r="G656" s="7"/>
      <c r="H656" s="7"/>
      <c r="I656" s="10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7" customHeight="1">
      <c r="A657" s="7"/>
      <c r="B657" s="7"/>
      <c r="C657" s="7"/>
      <c r="D657" s="7"/>
      <c r="E657" s="7"/>
      <c r="F657" s="7"/>
      <c r="G657" s="7"/>
      <c r="H657" s="7"/>
      <c r="I657" s="10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7" customHeight="1">
      <c r="A658" s="7"/>
      <c r="B658" s="7"/>
      <c r="C658" s="7"/>
      <c r="D658" s="7"/>
      <c r="E658" s="7"/>
      <c r="F658" s="7"/>
      <c r="G658" s="7"/>
      <c r="H658" s="7"/>
      <c r="I658" s="10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7" customHeight="1">
      <c r="A659" s="7"/>
      <c r="B659" s="7"/>
      <c r="C659" s="7"/>
      <c r="D659" s="7"/>
      <c r="E659" s="7"/>
      <c r="F659" s="7"/>
      <c r="G659" s="7"/>
      <c r="H659" s="7"/>
      <c r="I659" s="10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7" customHeight="1">
      <c r="A660" s="7"/>
      <c r="B660" s="7"/>
      <c r="C660" s="7"/>
      <c r="D660" s="7"/>
      <c r="E660" s="7"/>
      <c r="F660" s="7"/>
      <c r="G660" s="7"/>
      <c r="H660" s="7"/>
      <c r="I660" s="10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7" customHeight="1">
      <c r="A661" s="7"/>
      <c r="B661" s="7"/>
      <c r="C661" s="7"/>
      <c r="D661" s="7"/>
      <c r="E661" s="7"/>
      <c r="F661" s="7"/>
      <c r="G661" s="7"/>
      <c r="H661" s="7"/>
      <c r="I661" s="10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7" customHeight="1">
      <c r="A662" s="7"/>
      <c r="B662" s="7"/>
      <c r="C662" s="7"/>
      <c r="D662" s="7"/>
      <c r="E662" s="7"/>
      <c r="F662" s="7"/>
      <c r="G662" s="7"/>
      <c r="H662" s="7"/>
      <c r="I662" s="10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7" customHeight="1">
      <c r="A663" s="7"/>
      <c r="B663" s="7"/>
      <c r="C663" s="7"/>
      <c r="D663" s="7"/>
      <c r="E663" s="7"/>
      <c r="F663" s="7"/>
      <c r="G663" s="7"/>
      <c r="H663" s="7"/>
      <c r="I663" s="10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7" customHeight="1">
      <c r="A664" s="7"/>
      <c r="B664" s="7"/>
      <c r="C664" s="7"/>
      <c r="D664" s="7"/>
      <c r="E664" s="7"/>
      <c r="F664" s="7"/>
      <c r="G664" s="7"/>
      <c r="H664" s="7"/>
      <c r="I664" s="10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7" customHeight="1">
      <c r="A665" s="7"/>
      <c r="B665" s="7"/>
      <c r="C665" s="7"/>
      <c r="D665" s="7"/>
      <c r="E665" s="7"/>
      <c r="F665" s="7"/>
      <c r="G665" s="7"/>
      <c r="H665" s="7"/>
      <c r="I665" s="10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7" customHeight="1">
      <c r="A666" s="7"/>
      <c r="B666" s="7"/>
      <c r="C666" s="7"/>
      <c r="D666" s="7"/>
      <c r="E666" s="7"/>
      <c r="F666" s="7"/>
      <c r="G666" s="7"/>
      <c r="H666" s="7"/>
      <c r="I666" s="10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7" customHeight="1">
      <c r="A667" s="7"/>
      <c r="B667" s="7"/>
      <c r="C667" s="7"/>
      <c r="D667" s="7"/>
      <c r="E667" s="7"/>
      <c r="F667" s="7"/>
      <c r="G667" s="7"/>
      <c r="H667" s="7"/>
      <c r="I667" s="10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7" customHeight="1">
      <c r="A668" s="7"/>
      <c r="B668" s="7"/>
      <c r="C668" s="7"/>
      <c r="D668" s="7"/>
      <c r="E668" s="7"/>
      <c r="F668" s="7"/>
      <c r="G668" s="7"/>
      <c r="H668" s="7"/>
      <c r="I668" s="10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7" customHeight="1">
      <c r="A669" s="7"/>
      <c r="B669" s="7"/>
      <c r="C669" s="7"/>
      <c r="D669" s="7"/>
      <c r="E669" s="7"/>
      <c r="F669" s="7"/>
      <c r="G669" s="7"/>
      <c r="H669" s="7"/>
      <c r="I669" s="10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7" customHeight="1">
      <c r="A670" s="7"/>
      <c r="B670" s="7"/>
      <c r="C670" s="7"/>
      <c r="D670" s="7"/>
      <c r="E670" s="7"/>
      <c r="F670" s="7"/>
      <c r="G670" s="7"/>
      <c r="H670" s="7"/>
      <c r="I670" s="10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7" customHeight="1">
      <c r="A671" s="7"/>
      <c r="B671" s="7"/>
      <c r="C671" s="7"/>
      <c r="D671" s="7"/>
      <c r="E671" s="7"/>
      <c r="F671" s="7"/>
      <c r="G671" s="7"/>
      <c r="H671" s="7"/>
      <c r="I671" s="10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7" customHeight="1">
      <c r="A672" s="7"/>
      <c r="B672" s="7"/>
      <c r="C672" s="7"/>
      <c r="D672" s="7"/>
      <c r="E672" s="7"/>
      <c r="F672" s="7"/>
      <c r="G672" s="7"/>
      <c r="H672" s="7"/>
      <c r="I672" s="10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7" customHeight="1">
      <c r="A673" s="7"/>
      <c r="B673" s="7"/>
      <c r="C673" s="7"/>
      <c r="D673" s="7"/>
      <c r="E673" s="7"/>
      <c r="F673" s="7"/>
      <c r="G673" s="7"/>
      <c r="H673" s="7"/>
      <c r="I673" s="10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7" customHeight="1">
      <c r="A674" s="7"/>
      <c r="B674" s="7"/>
      <c r="C674" s="7"/>
      <c r="D674" s="7"/>
      <c r="E674" s="7"/>
      <c r="F674" s="7"/>
      <c r="G674" s="7"/>
      <c r="H674" s="7"/>
      <c r="I674" s="10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7" customHeight="1">
      <c r="A675" s="7"/>
      <c r="B675" s="7"/>
      <c r="C675" s="7"/>
      <c r="D675" s="7"/>
      <c r="E675" s="7"/>
      <c r="F675" s="7"/>
      <c r="G675" s="7"/>
      <c r="H675" s="7"/>
      <c r="I675" s="10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7" customHeight="1">
      <c r="A676" s="7"/>
      <c r="B676" s="7"/>
      <c r="C676" s="7"/>
      <c r="D676" s="7"/>
      <c r="E676" s="7"/>
      <c r="F676" s="7"/>
      <c r="G676" s="7"/>
      <c r="H676" s="7"/>
      <c r="I676" s="10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7" customHeight="1">
      <c r="A677" s="7"/>
      <c r="B677" s="7"/>
      <c r="C677" s="7"/>
      <c r="D677" s="7"/>
      <c r="E677" s="7"/>
      <c r="F677" s="7"/>
      <c r="G677" s="7"/>
      <c r="H677" s="7"/>
      <c r="I677" s="10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7" customHeight="1">
      <c r="A678" s="7"/>
      <c r="B678" s="7"/>
      <c r="C678" s="7"/>
      <c r="D678" s="7"/>
      <c r="E678" s="7"/>
      <c r="F678" s="7"/>
      <c r="G678" s="7"/>
      <c r="H678" s="7"/>
      <c r="I678" s="10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7" customHeight="1">
      <c r="A679" s="7"/>
      <c r="B679" s="7"/>
      <c r="C679" s="7"/>
      <c r="D679" s="7"/>
      <c r="E679" s="7"/>
      <c r="F679" s="7"/>
      <c r="G679" s="7"/>
      <c r="H679" s="7"/>
      <c r="I679" s="10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7" customHeight="1">
      <c r="A680" s="7"/>
      <c r="B680" s="7"/>
      <c r="C680" s="7"/>
      <c r="D680" s="7"/>
      <c r="E680" s="7"/>
      <c r="F680" s="7"/>
      <c r="G680" s="7"/>
      <c r="H680" s="7"/>
      <c r="I680" s="10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7" customHeight="1">
      <c r="A681" s="7"/>
      <c r="B681" s="7"/>
      <c r="C681" s="7"/>
      <c r="D681" s="7"/>
      <c r="E681" s="7"/>
      <c r="F681" s="7"/>
      <c r="G681" s="7"/>
      <c r="H681" s="7"/>
      <c r="I681" s="10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7" customHeight="1">
      <c r="A682" s="7"/>
      <c r="B682" s="7"/>
      <c r="C682" s="7"/>
      <c r="D682" s="7"/>
      <c r="E682" s="7"/>
      <c r="F682" s="7"/>
      <c r="G682" s="7"/>
      <c r="H682" s="7"/>
      <c r="I682" s="10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7" customHeight="1">
      <c r="A683" s="7"/>
      <c r="B683" s="7"/>
      <c r="C683" s="7"/>
      <c r="D683" s="7"/>
      <c r="E683" s="7"/>
      <c r="F683" s="7"/>
      <c r="G683" s="7"/>
      <c r="H683" s="7"/>
      <c r="I683" s="10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7" customHeight="1">
      <c r="A684" s="7"/>
      <c r="B684" s="7"/>
      <c r="C684" s="7"/>
      <c r="D684" s="7"/>
      <c r="E684" s="7"/>
      <c r="F684" s="7"/>
      <c r="G684" s="7"/>
      <c r="H684" s="7"/>
      <c r="I684" s="10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7" customHeight="1">
      <c r="A685" s="7"/>
      <c r="B685" s="7"/>
      <c r="C685" s="7"/>
      <c r="D685" s="7"/>
      <c r="E685" s="7"/>
      <c r="F685" s="7"/>
      <c r="G685" s="7"/>
      <c r="H685" s="7"/>
      <c r="I685" s="10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7" customHeight="1">
      <c r="A686" s="7"/>
      <c r="B686" s="7"/>
      <c r="C686" s="7"/>
      <c r="D686" s="7"/>
      <c r="E686" s="7"/>
      <c r="F686" s="7"/>
      <c r="G686" s="7"/>
      <c r="H686" s="7"/>
      <c r="I686" s="10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7" customHeight="1">
      <c r="A687" s="7"/>
      <c r="B687" s="7"/>
      <c r="C687" s="7"/>
      <c r="D687" s="7"/>
      <c r="E687" s="7"/>
      <c r="F687" s="7"/>
      <c r="G687" s="7"/>
      <c r="H687" s="7"/>
      <c r="I687" s="10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7" customHeight="1">
      <c r="A688" s="7"/>
      <c r="B688" s="7"/>
      <c r="C688" s="7"/>
      <c r="D688" s="7"/>
      <c r="E688" s="7"/>
      <c r="F688" s="7"/>
      <c r="G688" s="7"/>
      <c r="H688" s="7"/>
      <c r="I688" s="10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7" customHeight="1">
      <c r="A689" s="7"/>
      <c r="B689" s="7"/>
      <c r="C689" s="7"/>
      <c r="D689" s="7"/>
      <c r="E689" s="7"/>
      <c r="F689" s="7"/>
      <c r="G689" s="7"/>
      <c r="H689" s="7"/>
      <c r="I689" s="10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7" customHeight="1">
      <c r="A690" s="7"/>
      <c r="B690" s="7"/>
      <c r="C690" s="7"/>
      <c r="D690" s="7"/>
      <c r="E690" s="7"/>
      <c r="F690" s="7"/>
      <c r="G690" s="7"/>
      <c r="H690" s="7"/>
      <c r="I690" s="10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7" customHeight="1">
      <c r="A691" s="7"/>
      <c r="B691" s="7"/>
      <c r="C691" s="7"/>
      <c r="D691" s="7"/>
      <c r="E691" s="7"/>
      <c r="F691" s="7"/>
      <c r="G691" s="7"/>
      <c r="H691" s="7"/>
      <c r="I691" s="10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7" customHeight="1">
      <c r="A692" s="7"/>
      <c r="B692" s="7"/>
      <c r="C692" s="7"/>
      <c r="D692" s="7"/>
      <c r="E692" s="7"/>
      <c r="F692" s="7"/>
      <c r="G692" s="7"/>
      <c r="H692" s="7"/>
      <c r="I692" s="10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7" customHeight="1">
      <c r="A693" s="7"/>
      <c r="B693" s="7"/>
      <c r="C693" s="7"/>
      <c r="D693" s="7"/>
      <c r="E693" s="7"/>
      <c r="F693" s="7"/>
      <c r="G693" s="7"/>
      <c r="H693" s="7"/>
      <c r="I693" s="10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7" customHeight="1">
      <c r="A694" s="7"/>
      <c r="B694" s="7"/>
      <c r="C694" s="7"/>
      <c r="D694" s="7"/>
      <c r="E694" s="7"/>
      <c r="F694" s="7"/>
      <c r="G694" s="7"/>
      <c r="H694" s="7"/>
      <c r="I694" s="10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7" customHeight="1">
      <c r="A695" s="7"/>
      <c r="B695" s="7"/>
      <c r="C695" s="7"/>
      <c r="D695" s="7"/>
      <c r="E695" s="7"/>
      <c r="F695" s="7"/>
      <c r="G695" s="7"/>
      <c r="H695" s="7"/>
      <c r="I695" s="10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7" customHeight="1">
      <c r="A696" s="7"/>
      <c r="B696" s="7"/>
      <c r="C696" s="7"/>
      <c r="D696" s="7"/>
      <c r="E696" s="7"/>
      <c r="F696" s="7"/>
      <c r="G696" s="7"/>
      <c r="H696" s="7"/>
      <c r="I696" s="10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7" customHeight="1">
      <c r="A697" s="7"/>
      <c r="B697" s="7"/>
      <c r="C697" s="7"/>
      <c r="D697" s="7"/>
      <c r="E697" s="7"/>
      <c r="F697" s="7"/>
      <c r="G697" s="7"/>
      <c r="H697" s="7"/>
      <c r="I697" s="10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7" customHeight="1">
      <c r="A698" s="7"/>
      <c r="B698" s="7"/>
      <c r="C698" s="7"/>
      <c r="D698" s="7"/>
      <c r="E698" s="7"/>
      <c r="F698" s="7"/>
      <c r="G698" s="7"/>
      <c r="H698" s="7"/>
      <c r="I698" s="10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7" customHeight="1">
      <c r="A699" s="7"/>
      <c r="B699" s="7"/>
      <c r="C699" s="7"/>
      <c r="D699" s="7"/>
      <c r="E699" s="7"/>
      <c r="F699" s="7"/>
      <c r="G699" s="7"/>
      <c r="H699" s="7"/>
      <c r="I699" s="10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7" customHeight="1">
      <c r="A700" s="7"/>
      <c r="B700" s="7"/>
      <c r="C700" s="7"/>
      <c r="D700" s="7"/>
      <c r="E700" s="7"/>
      <c r="F700" s="7"/>
      <c r="G700" s="7"/>
      <c r="H700" s="7"/>
      <c r="I700" s="10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7" customHeight="1">
      <c r="A701" s="7"/>
      <c r="B701" s="7"/>
      <c r="C701" s="7"/>
      <c r="D701" s="7"/>
      <c r="E701" s="7"/>
      <c r="F701" s="7"/>
      <c r="G701" s="7"/>
      <c r="H701" s="7"/>
      <c r="I701" s="10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7" customHeight="1">
      <c r="A702" s="7"/>
      <c r="B702" s="7"/>
      <c r="C702" s="7"/>
      <c r="D702" s="7"/>
      <c r="E702" s="7"/>
      <c r="F702" s="7"/>
      <c r="G702" s="7"/>
      <c r="H702" s="7"/>
      <c r="I702" s="10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7" customHeight="1">
      <c r="A703" s="7"/>
      <c r="B703" s="7"/>
      <c r="C703" s="7"/>
      <c r="D703" s="7"/>
      <c r="E703" s="7"/>
      <c r="F703" s="7"/>
      <c r="G703" s="7"/>
      <c r="H703" s="7"/>
      <c r="I703" s="10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7" customHeight="1">
      <c r="A704" s="7"/>
      <c r="B704" s="7"/>
      <c r="C704" s="7"/>
      <c r="D704" s="7"/>
      <c r="E704" s="7"/>
      <c r="F704" s="7"/>
      <c r="G704" s="7"/>
      <c r="H704" s="7"/>
      <c r="I704" s="10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7" customHeight="1">
      <c r="A705" s="7"/>
      <c r="B705" s="7"/>
      <c r="C705" s="7"/>
      <c r="D705" s="7"/>
      <c r="E705" s="7"/>
      <c r="F705" s="7"/>
      <c r="G705" s="7"/>
      <c r="H705" s="7"/>
      <c r="I705" s="10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7" customHeight="1">
      <c r="A706" s="7"/>
      <c r="B706" s="7"/>
      <c r="C706" s="7"/>
      <c r="D706" s="7"/>
      <c r="E706" s="7"/>
      <c r="F706" s="7"/>
      <c r="G706" s="7"/>
      <c r="H706" s="7"/>
      <c r="I706" s="10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7" customHeight="1">
      <c r="A707" s="7"/>
      <c r="B707" s="7"/>
      <c r="C707" s="7"/>
      <c r="D707" s="7"/>
      <c r="E707" s="7"/>
      <c r="F707" s="7"/>
      <c r="G707" s="7"/>
      <c r="H707" s="7"/>
      <c r="I707" s="10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7" customHeight="1">
      <c r="A708" s="7"/>
      <c r="B708" s="7"/>
      <c r="C708" s="7"/>
      <c r="D708" s="7"/>
      <c r="E708" s="7"/>
      <c r="F708" s="7"/>
      <c r="G708" s="7"/>
      <c r="H708" s="7"/>
      <c r="I708" s="10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7" customHeight="1">
      <c r="A709" s="7"/>
      <c r="B709" s="7"/>
      <c r="C709" s="7"/>
      <c r="D709" s="7"/>
      <c r="E709" s="7"/>
      <c r="F709" s="7"/>
      <c r="G709" s="7"/>
      <c r="H709" s="7"/>
      <c r="I709" s="10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7" customHeight="1">
      <c r="A710" s="7"/>
      <c r="B710" s="7"/>
      <c r="C710" s="7"/>
      <c r="D710" s="7"/>
      <c r="E710" s="7"/>
      <c r="F710" s="7"/>
      <c r="G710" s="7"/>
      <c r="H710" s="7"/>
      <c r="I710" s="10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7" customHeight="1">
      <c r="A711" s="7"/>
      <c r="B711" s="7"/>
      <c r="C711" s="7"/>
      <c r="D711" s="7"/>
      <c r="E711" s="7"/>
      <c r="F711" s="7"/>
      <c r="G711" s="7"/>
      <c r="H711" s="7"/>
      <c r="I711" s="10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7" customHeight="1">
      <c r="A712" s="7"/>
      <c r="B712" s="7"/>
      <c r="C712" s="7"/>
      <c r="D712" s="7"/>
      <c r="E712" s="7"/>
      <c r="F712" s="7"/>
      <c r="G712" s="7"/>
      <c r="H712" s="7"/>
      <c r="I712" s="10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7" customHeight="1">
      <c r="A713" s="7"/>
      <c r="B713" s="7"/>
      <c r="C713" s="7"/>
      <c r="D713" s="7"/>
      <c r="E713" s="7"/>
      <c r="F713" s="7"/>
      <c r="G713" s="7"/>
      <c r="H713" s="7"/>
      <c r="I713" s="10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7" customHeight="1">
      <c r="A714" s="7"/>
      <c r="B714" s="7"/>
      <c r="C714" s="7"/>
      <c r="D714" s="7"/>
      <c r="E714" s="7"/>
      <c r="F714" s="7"/>
      <c r="G714" s="7"/>
      <c r="H714" s="7"/>
      <c r="I714" s="10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7" customHeight="1">
      <c r="A715" s="7"/>
      <c r="B715" s="7"/>
      <c r="C715" s="7"/>
      <c r="D715" s="7"/>
      <c r="E715" s="7"/>
      <c r="F715" s="7"/>
      <c r="G715" s="7"/>
      <c r="H715" s="7"/>
      <c r="I715" s="10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7" customHeight="1">
      <c r="A716" s="7"/>
      <c r="B716" s="7"/>
      <c r="C716" s="7"/>
      <c r="D716" s="7"/>
      <c r="E716" s="7"/>
      <c r="F716" s="7"/>
      <c r="G716" s="7"/>
      <c r="H716" s="7"/>
      <c r="I716" s="10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7" customHeight="1">
      <c r="A717" s="7"/>
      <c r="B717" s="7"/>
      <c r="C717" s="7"/>
      <c r="D717" s="7"/>
      <c r="E717" s="7"/>
      <c r="F717" s="7"/>
      <c r="G717" s="7"/>
      <c r="H717" s="7"/>
      <c r="I717" s="10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7" customHeight="1">
      <c r="A718" s="7"/>
      <c r="B718" s="7"/>
      <c r="C718" s="7"/>
      <c r="D718" s="7"/>
      <c r="E718" s="7"/>
      <c r="F718" s="7"/>
      <c r="G718" s="7"/>
      <c r="H718" s="7"/>
      <c r="I718" s="10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7" customHeight="1">
      <c r="A719" s="7"/>
      <c r="B719" s="7"/>
      <c r="C719" s="7"/>
      <c r="D719" s="7"/>
      <c r="E719" s="7"/>
      <c r="F719" s="7"/>
      <c r="G719" s="7"/>
      <c r="H719" s="7"/>
      <c r="I719" s="10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7" customHeight="1">
      <c r="A720" s="7"/>
      <c r="B720" s="7"/>
      <c r="C720" s="7"/>
      <c r="D720" s="7"/>
      <c r="E720" s="7"/>
      <c r="F720" s="7"/>
      <c r="G720" s="7"/>
      <c r="H720" s="7"/>
      <c r="I720" s="10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7" customHeight="1">
      <c r="A721" s="7"/>
      <c r="B721" s="7"/>
      <c r="C721" s="7"/>
      <c r="D721" s="7"/>
      <c r="E721" s="7"/>
      <c r="F721" s="7"/>
      <c r="G721" s="7"/>
      <c r="H721" s="7"/>
      <c r="I721" s="10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7" customHeight="1">
      <c r="A722" s="7"/>
      <c r="B722" s="7"/>
      <c r="C722" s="7"/>
      <c r="D722" s="7"/>
      <c r="E722" s="7"/>
      <c r="F722" s="7"/>
      <c r="G722" s="7"/>
      <c r="H722" s="7"/>
      <c r="I722" s="10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7" customHeight="1">
      <c r="A723" s="7"/>
      <c r="B723" s="7"/>
      <c r="C723" s="7"/>
      <c r="D723" s="7"/>
      <c r="E723" s="7"/>
      <c r="F723" s="7"/>
      <c r="G723" s="7"/>
      <c r="H723" s="7"/>
      <c r="I723" s="10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7" customHeight="1">
      <c r="A724" s="7"/>
      <c r="B724" s="7"/>
      <c r="C724" s="7"/>
      <c r="D724" s="7"/>
      <c r="E724" s="7"/>
      <c r="F724" s="7"/>
      <c r="G724" s="7"/>
      <c r="H724" s="7"/>
      <c r="I724" s="10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7" customHeight="1">
      <c r="A725" s="7"/>
      <c r="B725" s="7"/>
      <c r="C725" s="7"/>
      <c r="D725" s="7"/>
      <c r="E725" s="7"/>
      <c r="F725" s="7"/>
      <c r="G725" s="7"/>
      <c r="H725" s="7"/>
      <c r="I725" s="10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7" customHeight="1">
      <c r="A726" s="7"/>
      <c r="B726" s="7"/>
      <c r="C726" s="7"/>
      <c r="D726" s="7"/>
      <c r="E726" s="7"/>
      <c r="F726" s="7"/>
      <c r="G726" s="7"/>
      <c r="H726" s="7"/>
      <c r="I726" s="10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7" customHeight="1">
      <c r="A727" s="7"/>
      <c r="B727" s="7"/>
      <c r="C727" s="7"/>
      <c r="D727" s="7"/>
      <c r="E727" s="7"/>
      <c r="F727" s="7"/>
      <c r="G727" s="7"/>
      <c r="H727" s="7"/>
      <c r="I727" s="10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7" customHeight="1">
      <c r="A728" s="7"/>
      <c r="B728" s="7"/>
      <c r="C728" s="7"/>
      <c r="D728" s="7"/>
      <c r="E728" s="7"/>
      <c r="F728" s="7"/>
      <c r="G728" s="7"/>
      <c r="H728" s="7"/>
      <c r="I728" s="10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7" customHeight="1">
      <c r="A729" s="7"/>
      <c r="B729" s="7"/>
      <c r="C729" s="7"/>
      <c r="D729" s="7"/>
      <c r="E729" s="7"/>
      <c r="F729" s="7"/>
      <c r="G729" s="7"/>
      <c r="H729" s="7"/>
      <c r="I729" s="10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7" customHeight="1">
      <c r="A730" s="7"/>
      <c r="B730" s="7"/>
      <c r="C730" s="7"/>
      <c r="D730" s="7"/>
      <c r="E730" s="7"/>
      <c r="F730" s="7"/>
      <c r="G730" s="7"/>
      <c r="H730" s="7"/>
      <c r="I730" s="10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7" customHeight="1">
      <c r="A731" s="7"/>
      <c r="B731" s="7"/>
      <c r="C731" s="7"/>
      <c r="D731" s="7"/>
      <c r="E731" s="7"/>
      <c r="F731" s="7"/>
      <c r="G731" s="7"/>
      <c r="H731" s="7"/>
      <c r="I731" s="10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7" customHeight="1">
      <c r="A732" s="7"/>
      <c r="B732" s="7"/>
      <c r="C732" s="7"/>
      <c r="D732" s="7"/>
      <c r="E732" s="7"/>
      <c r="F732" s="7"/>
      <c r="G732" s="7"/>
      <c r="H732" s="7"/>
      <c r="I732" s="10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7" customHeight="1">
      <c r="A733" s="7"/>
      <c r="B733" s="7"/>
      <c r="C733" s="7"/>
      <c r="D733" s="7"/>
      <c r="E733" s="7"/>
      <c r="F733" s="7"/>
      <c r="G733" s="7"/>
      <c r="H733" s="7"/>
      <c r="I733" s="10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7" customHeight="1">
      <c r="A734" s="7"/>
      <c r="B734" s="7"/>
      <c r="C734" s="7"/>
      <c r="D734" s="7"/>
      <c r="E734" s="7"/>
      <c r="F734" s="7"/>
      <c r="G734" s="7"/>
      <c r="H734" s="7"/>
      <c r="I734" s="10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7" customHeight="1">
      <c r="A735" s="7"/>
      <c r="B735" s="7"/>
      <c r="C735" s="7"/>
      <c r="D735" s="7"/>
      <c r="E735" s="7"/>
      <c r="F735" s="7"/>
      <c r="G735" s="7"/>
      <c r="H735" s="7"/>
      <c r="I735" s="10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7" customHeight="1">
      <c r="A736" s="7"/>
      <c r="B736" s="7"/>
      <c r="C736" s="7"/>
      <c r="D736" s="7"/>
      <c r="E736" s="7"/>
      <c r="F736" s="7"/>
      <c r="G736" s="7"/>
      <c r="H736" s="7"/>
      <c r="I736" s="10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7" customHeight="1">
      <c r="A737" s="7"/>
      <c r="B737" s="7"/>
      <c r="C737" s="7"/>
      <c r="D737" s="7"/>
      <c r="E737" s="7"/>
      <c r="F737" s="7"/>
      <c r="G737" s="7"/>
      <c r="H737" s="7"/>
      <c r="I737" s="10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7" customHeight="1">
      <c r="A738" s="7"/>
      <c r="B738" s="7"/>
      <c r="C738" s="7"/>
      <c r="D738" s="7"/>
      <c r="E738" s="7"/>
      <c r="F738" s="7"/>
      <c r="G738" s="7"/>
      <c r="H738" s="7"/>
      <c r="I738" s="10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7" customHeight="1">
      <c r="A739" s="7"/>
      <c r="B739" s="7"/>
      <c r="C739" s="7"/>
      <c r="D739" s="7"/>
      <c r="E739" s="7"/>
      <c r="F739" s="7"/>
      <c r="G739" s="7"/>
      <c r="H739" s="7"/>
      <c r="I739" s="10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7" customHeight="1">
      <c r="A740" s="7"/>
      <c r="B740" s="7"/>
      <c r="C740" s="7"/>
      <c r="D740" s="7"/>
      <c r="E740" s="7"/>
      <c r="F740" s="7"/>
      <c r="G740" s="7"/>
      <c r="H740" s="7"/>
      <c r="I740" s="10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7" customHeight="1">
      <c r="A741" s="7"/>
      <c r="B741" s="7"/>
      <c r="C741" s="7"/>
      <c r="D741" s="7"/>
      <c r="E741" s="7"/>
      <c r="F741" s="7"/>
      <c r="G741" s="7"/>
      <c r="H741" s="7"/>
      <c r="I741" s="10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7" customHeight="1">
      <c r="A742" s="7"/>
      <c r="B742" s="7"/>
      <c r="C742" s="7"/>
      <c r="D742" s="7"/>
      <c r="E742" s="7"/>
      <c r="F742" s="7"/>
      <c r="G742" s="7"/>
      <c r="H742" s="7"/>
      <c r="I742" s="10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7" customHeight="1">
      <c r="A743" s="7"/>
      <c r="B743" s="7"/>
      <c r="C743" s="7"/>
      <c r="D743" s="7"/>
      <c r="E743" s="7"/>
      <c r="F743" s="7"/>
      <c r="G743" s="7"/>
      <c r="H743" s="7"/>
      <c r="I743" s="10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7" customHeight="1">
      <c r="A744" s="7"/>
      <c r="B744" s="7"/>
      <c r="C744" s="7"/>
      <c r="D744" s="7"/>
      <c r="E744" s="7"/>
      <c r="F744" s="7"/>
      <c r="G744" s="7"/>
      <c r="H744" s="7"/>
      <c r="I744" s="10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7" customHeight="1">
      <c r="A745" s="7"/>
      <c r="B745" s="7"/>
      <c r="C745" s="7"/>
      <c r="D745" s="7"/>
      <c r="E745" s="7"/>
      <c r="F745" s="7"/>
      <c r="G745" s="7"/>
      <c r="H745" s="7"/>
      <c r="I745" s="10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7" customHeight="1">
      <c r="A746" s="7"/>
      <c r="B746" s="7"/>
      <c r="C746" s="7"/>
      <c r="D746" s="7"/>
      <c r="E746" s="7"/>
      <c r="F746" s="7"/>
      <c r="G746" s="7"/>
      <c r="H746" s="7"/>
      <c r="I746" s="10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7" customHeight="1">
      <c r="A747" s="7"/>
      <c r="B747" s="7"/>
      <c r="C747" s="7"/>
      <c r="D747" s="7"/>
      <c r="E747" s="7"/>
      <c r="F747" s="7"/>
      <c r="G747" s="7"/>
      <c r="H747" s="7"/>
      <c r="I747" s="10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7" customHeight="1">
      <c r="A748" s="7"/>
      <c r="B748" s="7"/>
      <c r="C748" s="7"/>
      <c r="D748" s="7"/>
      <c r="E748" s="7"/>
      <c r="F748" s="7"/>
      <c r="G748" s="7"/>
      <c r="H748" s="7"/>
      <c r="I748" s="10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7" customHeight="1">
      <c r="A749" s="7"/>
      <c r="B749" s="7"/>
      <c r="C749" s="7"/>
      <c r="D749" s="7"/>
      <c r="E749" s="7"/>
      <c r="F749" s="7"/>
      <c r="G749" s="7"/>
      <c r="H749" s="7"/>
      <c r="I749" s="10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7" customHeight="1">
      <c r="A750" s="7"/>
      <c r="B750" s="7"/>
      <c r="C750" s="7"/>
      <c r="D750" s="7"/>
      <c r="E750" s="7"/>
      <c r="F750" s="7"/>
      <c r="G750" s="7"/>
      <c r="H750" s="7"/>
      <c r="I750" s="10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7" customHeight="1">
      <c r="A751" s="7"/>
      <c r="B751" s="7"/>
      <c r="C751" s="7"/>
      <c r="D751" s="7"/>
      <c r="E751" s="7"/>
      <c r="F751" s="7"/>
      <c r="G751" s="7"/>
      <c r="H751" s="7"/>
      <c r="I751" s="10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7" customHeight="1">
      <c r="A752" s="7"/>
      <c r="B752" s="7"/>
      <c r="C752" s="7"/>
      <c r="D752" s="7"/>
      <c r="E752" s="7"/>
      <c r="F752" s="7"/>
      <c r="G752" s="7"/>
      <c r="H752" s="7"/>
      <c r="I752" s="10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7" customHeight="1">
      <c r="A753" s="7"/>
      <c r="B753" s="7"/>
      <c r="C753" s="7"/>
      <c r="D753" s="7"/>
      <c r="E753" s="7"/>
      <c r="F753" s="7"/>
      <c r="G753" s="7"/>
      <c r="H753" s="7"/>
      <c r="I753" s="10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7" customHeight="1">
      <c r="A754" s="7"/>
      <c r="B754" s="7"/>
      <c r="C754" s="7"/>
      <c r="D754" s="7"/>
      <c r="E754" s="7"/>
      <c r="F754" s="7"/>
      <c r="G754" s="7"/>
      <c r="H754" s="7"/>
      <c r="I754" s="10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7" customHeight="1">
      <c r="A755" s="7"/>
      <c r="B755" s="7"/>
      <c r="C755" s="7"/>
      <c r="D755" s="7"/>
      <c r="E755" s="7"/>
      <c r="F755" s="7"/>
      <c r="G755" s="7"/>
      <c r="H755" s="7"/>
      <c r="I755" s="10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7" customHeight="1">
      <c r="A756" s="7"/>
      <c r="B756" s="7"/>
      <c r="C756" s="7"/>
      <c r="D756" s="7"/>
      <c r="E756" s="7"/>
      <c r="F756" s="7"/>
      <c r="G756" s="7"/>
      <c r="H756" s="7"/>
      <c r="I756" s="10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7" customHeight="1">
      <c r="A757" s="7"/>
      <c r="B757" s="7"/>
      <c r="C757" s="7"/>
      <c r="D757" s="7"/>
      <c r="E757" s="7"/>
      <c r="F757" s="7"/>
      <c r="G757" s="7"/>
      <c r="H757" s="7"/>
      <c r="I757" s="10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7" customHeight="1">
      <c r="A758" s="7"/>
      <c r="B758" s="7"/>
      <c r="C758" s="7"/>
      <c r="D758" s="7"/>
      <c r="E758" s="7"/>
      <c r="F758" s="7"/>
      <c r="G758" s="7"/>
      <c r="H758" s="7"/>
      <c r="I758" s="10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7" customHeight="1">
      <c r="A759" s="7"/>
      <c r="B759" s="7"/>
      <c r="C759" s="7"/>
      <c r="D759" s="7"/>
      <c r="E759" s="7"/>
      <c r="F759" s="7"/>
      <c r="G759" s="7"/>
      <c r="H759" s="7"/>
      <c r="I759" s="10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7" customHeight="1">
      <c r="A760" s="7"/>
      <c r="B760" s="7"/>
      <c r="C760" s="7"/>
      <c r="D760" s="7"/>
      <c r="E760" s="7"/>
      <c r="F760" s="7"/>
      <c r="G760" s="7"/>
      <c r="H760" s="7"/>
      <c r="I760" s="10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7" customHeight="1">
      <c r="A761" s="7"/>
      <c r="B761" s="7"/>
      <c r="C761" s="7"/>
      <c r="D761" s="7"/>
      <c r="E761" s="7"/>
      <c r="F761" s="7"/>
      <c r="G761" s="7"/>
      <c r="H761" s="7"/>
      <c r="I761" s="10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7" customHeight="1">
      <c r="A762" s="7"/>
      <c r="B762" s="7"/>
      <c r="C762" s="7"/>
      <c r="D762" s="7"/>
      <c r="E762" s="7"/>
      <c r="F762" s="7"/>
      <c r="G762" s="7"/>
      <c r="H762" s="7"/>
      <c r="I762" s="10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7" customHeight="1">
      <c r="A763" s="7"/>
      <c r="B763" s="7"/>
      <c r="C763" s="7"/>
      <c r="D763" s="7"/>
      <c r="E763" s="7"/>
      <c r="F763" s="7"/>
      <c r="G763" s="7"/>
      <c r="H763" s="7"/>
      <c r="I763" s="10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7" customHeight="1">
      <c r="A764" s="7"/>
      <c r="B764" s="7"/>
      <c r="C764" s="7"/>
      <c r="D764" s="7"/>
      <c r="E764" s="7"/>
      <c r="F764" s="7"/>
      <c r="G764" s="7"/>
      <c r="H764" s="7"/>
      <c r="I764" s="10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7" customHeight="1">
      <c r="A765" s="7"/>
      <c r="B765" s="7"/>
      <c r="C765" s="7"/>
      <c r="D765" s="7"/>
      <c r="E765" s="7"/>
      <c r="F765" s="7"/>
      <c r="G765" s="7"/>
      <c r="H765" s="7"/>
      <c r="I765" s="10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7" customHeight="1">
      <c r="A766" s="7"/>
      <c r="B766" s="7"/>
      <c r="C766" s="7"/>
      <c r="D766" s="7"/>
      <c r="E766" s="7"/>
      <c r="F766" s="7"/>
      <c r="G766" s="7"/>
      <c r="H766" s="7"/>
      <c r="I766" s="10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7" customHeight="1">
      <c r="A767" s="7"/>
      <c r="B767" s="7"/>
      <c r="C767" s="7"/>
      <c r="D767" s="7"/>
      <c r="E767" s="7"/>
      <c r="F767" s="7"/>
      <c r="G767" s="7"/>
      <c r="H767" s="7"/>
      <c r="I767" s="10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7" customHeight="1">
      <c r="A768" s="7"/>
      <c r="B768" s="7"/>
      <c r="C768" s="7"/>
      <c r="D768" s="7"/>
      <c r="E768" s="7"/>
      <c r="F768" s="7"/>
      <c r="G768" s="7"/>
      <c r="H768" s="7"/>
      <c r="I768" s="10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7" customHeight="1">
      <c r="A769" s="7"/>
      <c r="B769" s="7"/>
      <c r="C769" s="7"/>
      <c r="D769" s="7"/>
      <c r="E769" s="7"/>
      <c r="F769" s="7"/>
      <c r="G769" s="7"/>
      <c r="H769" s="7"/>
      <c r="I769" s="10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7" customHeight="1">
      <c r="A770" s="7"/>
      <c r="B770" s="7"/>
      <c r="C770" s="7"/>
      <c r="D770" s="7"/>
      <c r="E770" s="7"/>
      <c r="F770" s="7"/>
      <c r="G770" s="7"/>
      <c r="H770" s="7"/>
      <c r="I770" s="10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7" customHeight="1">
      <c r="A771" s="7"/>
      <c r="B771" s="7"/>
      <c r="C771" s="7"/>
      <c r="D771" s="7"/>
      <c r="E771" s="7"/>
      <c r="F771" s="7"/>
      <c r="G771" s="7"/>
      <c r="H771" s="7"/>
      <c r="I771" s="10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7" customHeight="1">
      <c r="A772" s="7"/>
      <c r="B772" s="7"/>
      <c r="C772" s="7"/>
      <c r="D772" s="7"/>
      <c r="E772" s="7"/>
      <c r="F772" s="7"/>
      <c r="G772" s="7"/>
      <c r="H772" s="7"/>
      <c r="I772" s="10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7" customHeight="1">
      <c r="A773" s="7"/>
      <c r="B773" s="7"/>
      <c r="C773" s="7"/>
      <c r="D773" s="7"/>
      <c r="E773" s="7"/>
      <c r="F773" s="7"/>
      <c r="G773" s="7"/>
      <c r="H773" s="7"/>
      <c r="I773" s="10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7" customHeight="1">
      <c r="A774" s="7"/>
      <c r="B774" s="7"/>
      <c r="C774" s="7"/>
      <c r="D774" s="7"/>
      <c r="E774" s="7"/>
      <c r="F774" s="7"/>
      <c r="G774" s="7"/>
      <c r="H774" s="7"/>
      <c r="I774" s="10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7" customHeight="1">
      <c r="A775" s="7"/>
      <c r="B775" s="7"/>
      <c r="C775" s="7"/>
      <c r="D775" s="7"/>
      <c r="E775" s="7"/>
      <c r="F775" s="7"/>
      <c r="G775" s="7"/>
      <c r="H775" s="7"/>
      <c r="I775" s="10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7" customHeight="1">
      <c r="A776" s="7"/>
      <c r="B776" s="7"/>
      <c r="C776" s="7"/>
      <c r="D776" s="7"/>
      <c r="E776" s="7"/>
      <c r="F776" s="7"/>
      <c r="G776" s="7"/>
      <c r="H776" s="7"/>
      <c r="I776" s="10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7" customHeight="1">
      <c r="A777" s="7"/>
      <c r="B777" s="7"/>
      <c r="C777" s="7"/>
      <c r="D777" s="7"/>
      <c r="E777" s="7"/>
      <c r="F777" s="7"/>
      <c r="G777" s="7"/>
      <c r="H777" s="7"/>
      <c r="I777" s="10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7" customHeight="1">
      <c r="A778" s="7"/>
      <c r="B778" s="7"/>
      <c r="C778" s="7"/>
      <c r="D778" s="7"/>
      <c r="E778" s="7"/>
      <c r="F778" s="7"/>
      <c r="G778" s="7"/>
      <c r="H778" s="7"/>
      <c r="I778" s="10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7" customHeight="1">
      <c r="A779" s="7"/>
      <c r="B779" s="7"/>
      <c r="C779" s="7"/>
      <c r="D779" s="7"/>
      <c r="E779" s="7"/>
      <c r="F779" s="7"/>
      <c r="G779" s="7"/>
      <c r="H779" s="7"/>
      <c r="I779" s="10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7" customHeight="1">
      <c r="A780" s="7"/>
      <c r="B780" s="7"/>
      <c r="C780" s="7"/>
      <c r="D780" s="7"/>
      <c r="E780" s="7"/>
      <c r="F780" s="7"/>
      <c r="G780" s="7"/>
      <c r="H780" s="7"/>
      <c r="I780" s="10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7" customHeight="1">
      <c r="A781" s="7"/>
      <c r="B781" s="7"/>
      <c r="C781" s="7"/>
      <c r="D781" s="7"/>
      <c r="E781" s="7"/>
      <c r="F781" s="7"/>
      <c r="G781" s="7"/>
      <c r="H781" s="7"/>
      <c r="I781" s="10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7" customHeight="1">
      <c r="A782" s="7"/>
      <c r="B782" s="7"/>
      <c r="C782" s="7"/>
      <c r="D782" s="7"/>
      <c r="E782" s="7"/>
      <c r="F782" s="7"/>
      <c r="G782" s="7"/>
      <c r="H782" s="7"/>
      <c r="I782" s="10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7" customHeight="1">
      <c r="A783" s="7"/>
      <c r="B783" s="7"/>
      <c r="C783" s="7"/>
      <c r="D783" s="7"/>
      <c r="E783" s="7"/>
      <c r="F783" s="7"/>
      <c r="G783" s="7"/>
      <c r="H783" s="7"/>
      <c r="I783" s="10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7" customHeight="1">
      <c r="A784" s="7"/>
      <c r="B784" s="7"/>
      <c r="C784" s="7"/>
      <c r="D784" s="7"/>
      <c r="E784" s="7"/>
      <c r="F784" s="7"/>
      <c r="G784" s="7"/>
      <c r="H784" s="7"/>
      <c r="I784" s="10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7" customHeight="1">
      <c r="A785" s="7"/>
      <c r="B785" s="7"/>
      <c r="C785" s="7"/>
      <c r="D785" s="7"/>
      <c r="E785" s="7"/>
      <c r="F785" s="7"/>
      <c r="G785" s="7"/>
      <c r="H785" s="7"/>
      <c r="I785" s="10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7" customHeight="1">
      <c r="A786" s="7"/>
      <c r="B786" s="7"/>
      <c r="C786" s="7"/>
      <c r="D786" s="7"/>
      <c r="E786" s="7"/>
      <c r="F786" s="7"/>
      <c r="G786" s="7"/>
      <c r="H786" s="7"/>
      <c r="I786" s="10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7" customHeight="1">
      <c r="A787" s="7"/>
      <c r="B787" s="7"/>
      <c r="C787" s="7"/>
      <c r="D787" s="7"/>
      <c r="E787" s="7"/>
      <c r="F787" s="7"/>
      <c r="G787" s="7"/>
      <c r="H787" s="7"/>
      <c r="I787" s="10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7" customHeight="1">
      <c r="A788" s="7"/>
      <c r="B788" s="7"/>
      <c r="C788" s="7"/>
      <c r="D788" s="7"/>
      <c r="E788" s="7"/>
      <c r="F788" s="7"/>
      <c r="G788" s="7"/>
      <c r="H788" s="7"/>
      <c r="I788" s="10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7" customHeight="1">
      <c r="A789" s="7"/>
      <c r="B789" s="7"/>
      <c r="C789" s="7"/>
      <c r="D789" s="7"/>
      <c r="E789" s="7"/>
      <c r="F789" s="7"/>
      <c r="G789" s="7"/>
      <c r="H789" s="7"/>
      <c r="I789" s="10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7" customHeight="1">
      <c r="A790" s="7"/>
      <c r="B790" s="7"/>
      <c r="C790" s="7"/>
      <c r="D790" s="7"/>
      <c r="E790" s="7"/>
      <c r="F790" s="7"/>
      <c r="G790" s="7"/>
      <c r="H790" s="7"/>
      <c r="I790" s="10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7" customHeight="1">
      <c r="A791" s="7"/>
      <c r="B791" s="7"/>
      <c r="C791" s="7"/>
      <c r="D791" s="7"/>
      <c r="E791" s="7"/>
      <c r="F791" s="7"/>
      <c r="G791" s="7"/>
      <c r="H791" s="7"/>
      <c r="I791" s="10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7" customHeight="1">
      <c r="A792" s="7"/>
      <c r="B792" s="7"/>
      <c r="C792" s="7"/>
      <c r="D792" s="7"/>
      <c r="E792" s="7"/>
      <c r="F792" s="7"/>
      <c r="G792" s="7"/>
      <c r="H792" s="7"/>
      <c r="I792" s="10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7" customHeight="1">
      <c r="A793" s="7"/>
      <c r="B793" s="7"/>
      <c r="C793" s="7"/>
      <c r="D793" s="7"/>
      <c r="E793" s="7"/>
      <c r="F793" s="7"/>
      <c r="G793" s="7"/>
      <c r="H793" s="7"/>
      <c r="I793" s="10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7" customHeight="1">
      <c r="A794" s="7"/>
      <c r="B794" s="7"/>
      <c r="C794" s="7"/>
      <c r="D794" s="7"/>
      <c r="E794" s="7"/>
      <c r="F794" s="7"/>
      <c r="G794" s="7"/>
      <c r="H794" s="7"/>
      <c r="I794" s="10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7" customHeight="1">
      <c r="A795" s="7"/>
      <c r="B795" s="7"/>
      <c r="C795" s="7"/>
      <c r="D795" s="7"/>
      <c r="E795" s="7"/>
      <c r="F795" s="7"/>
      <c r="G795" s="7"/>
      <c r="H795" s="7"/>
      <c r="I795" s="10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7" customHeight="1">
      <c r="A796" s="7"/>
      <c r="B796" s="7"/>
      <c r="C796" s="7"/>
      <c r="D796" s="7"/>
      <c r="E796" s="7"/>
      <c r="F796" s="7"/>
      <c r="G796" s="7"/>
      <c r="H796" s="7"/>
      <c r="I796" s="10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7" customHeight="1">
      <c r="A797" s="7"/>
      <c r="B797" s="7"/>
      <c r="C797" s="7"/>
      <c r="D797" s="7"/>
      <c r="E797" s="7"/>
      <c r="F797" s="7"/>
      <c r="G797" s="7"/>
      <c r="H797" s="7"/>
      <c r="I797" s="10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7" customHeight="1">
      <c r="A798" s="7"/>
      <c r="B798" s="7"/>
      <c r="C798" s="7"/>
      <c r="D798" s="7"/>
      <c r="E798" s="7"/>
      <c r="F798" s="7"/>
      <c r="G798" s="7"/>
      <c r="H798" s="7"/>
      <c r="I798" s="10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7" customHeight="1">
      <c r="A799" s="7"/>
      <c r="B799" s="7"/>
      <c r="C799" s="7"/>
      <c r="D799" s="7"/>
      <c r="E799" s="7"/>
      <c r="F799" s="7"/>
      <c r="G799" s="7"/>
      <c r="H799" s="7"/>
      <c r="I799" s="10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7" customHeight="1">
      <c r="A800" s="7"/>
      <c r="B800" s="7"/>
      <c r="C800" s="7"/>
      <c r="D800" s="7"/>
      <c r="E800" s="7"/>
      <c r="F800" s="7"/>
      <c r="G800" s="7"/>
      <c r="H800" s="7"/>
      <c r="I800" s="10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7" customHeight="1">
      <c r="A801" s="7"/>
      <c r="B801" s="7"/>
      <c r="C801" s="7"/>
      <c r="D801" s="7"/>
      <c r="E801" s="7"/>
      <c r="F801" s="7"/>
      <c r="G801" s="7"/>
      <c r="H801" s="7"/>
      <c r="I801" s="10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7" customHeight="1">
      <c r="A802" s="7"/>
      <c r="B802" s="7"/>
      <c r="C802" s="7"/>
      <c r="D802" s="7"/>
      <c r="E802" s="7"/>
      <c r="F802" s="7"/>
      <c r="G802" s="7"/>
      <c r="H802" s="7"/>
      <c r="I802" s="10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7" customHeight="1">
      <c r="A803" s="7"/>
      <c r="B803" s="7"/>
      <c r="C803" s="7"/>
      <c r="D803" s="7"/>
      <c r="E803" s="7"/>
      <c r="F803" s="7"/>
      <c r="G803" s="7"/>
      <c r="H803" s="7"/>
      <c r="I803" s="10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7" customHeight="1">
      <c r="A804" s="7"/>
      <c r="B804" s="7"/>
      <c r="C804" s="7"/>
      <c r="D804" s="7"/>
      <c r="E804" s="7"/>
      <c r="F804" s="7"/>
      <c r="G804" s="7"/>
      <c r="H804" s="7"/>
      <c r="I804" s="10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7" customHeight="1">
      <c r="A805" s="7"/>
      <c r="B805" s="7"/>
      <c r="C805" s="7"/>
      <c r="D805" s="7"/>
      <c r="E805" s="7"/>
      <c r="F805" s="7"/>
      <c r="G805" s="7"/>
      <c r="H805" s="7"/>
      <c r="I805" s="10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7" customHeight="1">
      <c r="A806" s="7"/>
      <c r="B806" s="7"/>
      <c r="C806" s="7"/>
      <c r="D806" s="7"/>
      <c r="E806" s="7"/>
      <c r="F806" s="7"/>
      <c r="G806" s="7"/>
      <c r="H806" s="7"/>
      <c r="I806" s="10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7" customHeight="1">
      <c r="A807" s="7"/>
      <c r="B807" s="7"/>
      <c r="C807" s="7"/>
      <c r="D807" s="7"/>
      <c r="E807" s="7"/>
      <c r="F807" s="7"/>
      <c r="G807" s="7"/>
      <c r="H807" s="7"/>
      <c r="I807" s="10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7" customHeight="1">
      <c r="A808" s="7"/>
      <c r="B808" s="7"/>
      <c r="C808" s="7"/>
      <c r="D808" s="7"/>
      <c r="E808" s="7"/>
      <c r="F808" s="7"/>
      <c r="G808" s="7"/>
      <c r="H808" s="7"/>
      <c r="I808" s="10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7" customHeight="1">
      <c r="A809" s="7"/>
      <c r="B809" s="7"/>
      <c r="C809" s="7"/>
      <c r="D809" s="7"/>
      <c r="E809" s="7"/>
      <c r="F809" s="7"/>
      <c r="G809" s="7"/>
      <c r="H809" s="7"/>
      <c r="I809" s="10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7" customHeight="1">
      <c r="A810" s="7"/>
      <c r="B810" s="7"/>
      <c r="C810" s="7"/>
      <c r="D810" s="7"/>
      <c r="E810" s="7"/>
      <c r="F810" s="7"/>
      <c r="G810" s="7"/>
      <c r="H810" s="7"/>
      <c r="I810" s="10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7" customHeight="1">
      <c r="A811" s="7"/>
      <c r="B811" s="7"/>
      <c r="C811" s="7"/>
      <c r="D811" s="7"/>
      <c r="E811" s="7"/>
      <c r="F811" s="7"/>
      <c r="G811" s="7"/>
      <c r="H811" s="7"/>
      <c r="I811" s="10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7" customHeight="1">
      <c r="A812" s="7"/>
      <c r="B812" s="7"/>
      <c r="C812" s="7"/>
      <c r="D812" s="7"/>
      <c r="E812" s="7"/>
      <c r="F812" s="7"/>
      <c r="G812" s="7"/>
      <c r="H812" s="7"/>
      <c r="I812" s="10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7" customHeight="1">
      <c r="A813" s="7"/>
      <c r="B813" s="7"/>
      <c r="C813" s="7"/>
      <c r="D813" s="7"/>
      <c r="E813" s="7"/>
      <c r="F813" s="7"/>
      <c r="G813" s="7"/>
      <c r="H813" s="7"/>
      <c r="I813" s="10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7" customHeight="1">
      <c r="A814" s="7"/>
      <c r="B814" s="7"/>
      <c r="C814" s="7"/>
      <c r="D814" s="7"/>
      <c r="E814" s="7"/>
      <c r="F814" s="7"/>
      <c r="G814" s="7"/>
      <c r="H814" s="7"/>
      <c r="I814" s="10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7" customHeight="1">
      <c r="A815" s="7"/>
      <c r="B815" s="7"/>
      <c r="C815" s="7"/>
      <c r="D815" s="7"/>
      <c r="E815" s="7"/>
      <c r="F815" s="7"/>
      <c r="G815" s="7"/>
      <c r="H815" s="7"/>
      <c r="I815" s="10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7" customHeight="1">
      <c r="A816" s="7"/>
      <c r="B816" s="7"/>
      <c r="C816" s="7"/>
      <c r="D816" s="7"/>
      <c r="E816" s="7"/>
      <c r="F816" s="7"/>
      <c r="G816" s="7"/>
      <c r="H816" s="7"/>
      <c r="I816" s="10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7" customHeight="1">
      <c r="A817" s="7"/>
      <c r="B817" s="7"/>
      <c r="C817" s="7"/>
      <c r="D817" s="7"/>
      <c r="E817" s="7"/>
      <c r="F817" s="7"/>
      <c r="G817" s="7"/>
      <c r="H817" s="7"/>
      <c r="I817" s="10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7" customHeight="1">
      <c r="A818" s="7"/>
      <c r="B818" s="7"/>
      <c r="C818" s="7"/>
      <c r="D818" s="7"/>
      <c r="E818" s="7"/>
      <c r="F818" s="7"/>
      <c r="G818" s="7"/>
      <c r="H818" s="7"/>
      <c r="I818" s="10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7" customHeight="1">
      <c r="A819" s="7"/>
      <c r="B819" s="7"/>
      <c r="C819" s="7"/>
      <c r="D819" s="7"/>
      <c r="E819" s="7"/>
      <c r="F819" s="7"/>
      <c r="G819" s="7"/>
      <c r="H819" s="7"/>
      <c r="I819" s="10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7" customHeight="1">
      <c r="A820" s="7"/>
      <c r="B820" s="7"/>
      <c r="C820" s="7"/>
      <c r="D820" s="7"/>
      <c r="E820" s="7"/>
      <c r="F820" s="7"/>
      <c r="G820" s="7"/>
      <c r="H820" s="7"/>
      <c r="I820" s="10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7" customHeight="1">
      <c r="A821" s="7"/>
      <c r="B821" s="7"/>
      <c r="C821" s="7"/>
      <c r="D821" s="7"/>
      <c r="E821" s="7"/>
      <c r="F821" s="7"/>
      <c r="G821" s="7"/>
      <c r="H821" s="7"/>
      <c r="I821" s="10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7" customHeight="1">
      <c r="A822" s="7"/>
      <c r="B822" s="7"/>
      <c r="C822" s="7"/>
      <c r="D822" s="7"/>
      <c r="E822" s="7"/>
      <c r="F822" s="7"/>
      <c r="G822" s="7"/>
      <c r="H822" s="7"/>
      <c r="I822" s="10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7" customHeight="1">
      <c r="A823" s="7"/>
      <c r="B823" s="7"/>
      <c r="C823" s="7"/>
      <c r="D823" s="7"/>
      <c r="E823" s="7"/>
      <c r="F823" s="7"/>
      <c r="G823" s="7"/>
      <c r="H823" s="7"/>
      <c r="I823" s="10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7" customHeight="1">
      <c r="A824" s="7"/>
      <c r="B824" s="7"/>
      <c r="C824" s="7"/>
      <c r="D824" s="7"/>
      <c r="E824" s="7"/>
      <c r="F824" s="7"/>
      <c r="G824" s="7"/>
      <c r="H824" s="7"/>
      <c r="I824" s="10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7" customHeight="1">
      <c r="A825" s="7"/>
      <c r="B825" s="7"/>
      <c r="C825" s="7"/>
      <c r="D825" s="7"/>
      <c r="E825" s="7"/>
      <c r="F825" s="7"/>
      <c r="G825" s="7"/>
      <c r="H825" s="7"/>
      <c r="I825" s="10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7" customHeight="1">
      <c r="A826" s="7"/>
      <c r="B826" s="7"/>
      <c r="C826" s="7"/>
      <c r="D826" s="7"/>
      <c r="E826" s="7"/>
      <c r="F826" s="7"/>
      <c r="G826" s="7"/>
      <c r="H826" s="7"/>
      <c r="I826" s="10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7" customHeight="1">
      <c r="A827" s="7"/>
      <c r="B827" s="7"/>
      <c r="C827" s="7"/>
      <c r="D827" s="7"/>
      <c r="E827" s="7"/>
      <c r="F827" s="7"/>
      <c r="G827" s="7"/>
      <c r="H827" s="7"/>
      <c r="I827" s="10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7" customHeight="1">
      <c r="A828" s="7"/>
      <c r="B828" s="7"/>
      <c r="C828" s="7"/>
      <c r="D828" s="7"/>
      <c r="E828" s="7"/>
      <c r="F828" s="7"/>
      <c r="G828" s="7"/>
      <c r="H828" s="7"/>
      <c r="I828" s="10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7" customHeight="1">
      <c r="A829" s="7"/>
      <c r="B829" s="7"/>
      <c r="C829" s="7"/>
      <c r="D829" s="7"/>
      <c r="E829" s="7"/>
      <c r="F829" s="7"/>
      <c r="G829" s="7"/>
      <c r="H829" s="7"/>
      <c r="I829" s="10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7" customHeight="1">
      <c r="A830" s="7"/>
      <c r="B830" s="7"/>
      <c r="C830" s="7"/>
      <c r="D830" s="7"/>
      <c r="E830" s="7"/>
      <c r="F830" s="7"/>
      <c r="G830" s="7"/>
      <c r="H830" s="7"/>
      <c r="I830" s="10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7" customHeight="1">
      <c r="A831" s="7"/>
      <c r="B831" s="7"/>
      <c r="C831" s="7"/>
      <c r="D831" s="7"/>
      <c r="E831" s="7"/>
      <c r="F831" s="7"/>
      <c r="G831" s="7"/>
      <c r="H831" s="7"/>
      <c r="I831" s="10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7" customHeight="1">
      <c r="A832" s="7"/>
      <c r="B832" s="7"/>
      <c r="C832" s="7"/>
      <c r="D832" s="7"/>
      <c r="E832" s="7"/>
      <c r="F832" s="7"/>
      <c r="G832" s="7"/>
      <c r="H832" s="7"/>
      <c r="I832" s="10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7" customHeight="1">
      <c r="A833" s="7"/>
      <c r="B833" s="7"/>
      <c r="C833" s="7"/>
      <c r="D833" s="7"/>
      <c r="E833" s="7"/>
      <c r="F833" s="7"/>
      <c r="G833" s="7"/>
      <c r="H833" s="7"/>
      <c r="I833" s="10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7" customHeight="1">
      <c r="A834" s="7"/>
      <c r="B834" s="7"/>
      <c r="C834" s="7"/>
      <c r="D834" s="7"/>
      <c r="E834" s="7"/>
      <c r="F834" s="7"/>
      <c r="G834" s="7"/>
      <c r="H834" s="7"/>
      <c r="I834" s="10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7" customHeight="1">
      <c r="A835" s="7"/>
      <c r="B835" s="7"/>
      <c r="C835" s="7"/>
      <c r="D835" s="7"/>
      <c r="E835" s="7"/>
      <c r="F835" s="7"/>
      <c r="G835" s="7"/>
      <c r="H835" s="7"/>
      <c r="I835" s="10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7" customHeight="1">
      <c r="A836" s="7"/>
      <c r="B836" s="7"/>
      <c r="C836" s="7"/>
      <c r="D836" s="7"/>
      <c r="E836" s="7"/>
      <c r="F836" s="7"/>
      <c r="G836" s="7"/>
      <c r="H836" s="7"/>
      <c r="I836" s="10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7" customHeight="1">
      <c r="A837" s="7"/>
      <c r="B837" s="7"/>
      <c r="C837" s="7"/>
      <c r="D837" s="7"/>
      <c r="E837" s="7"/>
      <c r="F837" s="7"/>
      <c r="G837" s="7"/>
      <c r="H837" s="7"/>
      <c r="I837" s="10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7" customHeight="1">
      <c r="A838" s="7"/>
      <c r="B838" s="7"/>
      <c r="C838" s="7"/>
      <c r="D838" s="7"/>
      <c r="E838" s="7"/>
      <c r="F838" s="7"/>
      <c r="G838" s="7"/>
      <c r="H838" s="7"/>
      <c r="I838" s="10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7" customHeight="1">
      <c r="A839" s="7"/>
      <c r="B839" s="7"/>
      <c r="C839" s="7"/>
      <c r="D839" s="7"/>
      <c r="E839" s="7"/>
      <c r="F839" s="7"/>
      <c r="G839" s="7"/>
      <c r="H839" s="7"/>
      <c r="I839" s="10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7" customHeight="1">
      <c r="A840" s="7"/>
      <c r="B840" s="7"/>
      <c r="C840" s="7"/>
      <c r="D840" s="7"/>
      <c r="E840" s="7"/>
      <c r="F840" s="7"/>
      <c r="G840" s="7"/>
      <c r="H840" s="7"/>
      <c r="I840" s="10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7" customHeight="1">
      <c r="A841" s="7"/>
      <c r="B841" s="7"/>
      <c r="C841" s="7"/>
      <c r="D841" s="7"/>
      <c r="E841" s="7"/>
      <c r="F841" s="7"/>
      <c r="G841" s="7"/>
      <c r="H841" s="7"/>
      <c r="I841" s="10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7" customHeight="1">
      <c r="A842" s="7"/>
      <c r="B842" s="7"/>
      <c r="C842" s="7"/>
      <c r="D842" s="7"/>
      <c r="E842" s="7"/>
      <c r="F842" s="7"/>
      <c r="G842" s="7"/>
      <c r="H842" s="7"/>
      <c r="I842" s="10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7" customHeight="1">
      <c r="A843" s="7"/>
      <c r="B843" s="7"/>
      <c r="C843" s="7"/>
      <c r="D843" s="7"/>
      <c r="E843" s="7"/>
      <c r="F843" s="7"/>
      <c r="G843" s="7"/>
      <c r="H843" s="7"/>
      <c r="I843" s="10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7" customHeight="1">
      <c r="A844" s="7"/>
      <c r="B844" s="7"/>
      <c r="C844" s="7"/>
      <c r="D844" s="7"/>
      <c r="E844" s="7"/>
      <c r="F844" s="7"/>
      <c r="G844" s="7"/>
      <c r="H844" s="7"/>
      <c r="I844" s="10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7" customHeight="1">
      <c r="A845" s="7"/>
      <c r="B845" s="7"/>
      <c r="C845" s="7"/>
      <c r="D845" s="7"/>
      <c r="E845" s="7"/>
      <c r="F845" s="7"/>
      <c r="G845" s="7"/>
      <c r="H845" s="7"/>
      <c r="I845" s="10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7" customHeight="1">
      <c r="A846" s="7"/>
      <c r="B846" s="7"/>
      <c r="C846" s="7"/>
      <c r="D846" s="7"/>
      <c r="E846" s="7"/>
      <c r="F846" s="7"/>
      <c r="G846" s="7"/>
      <c r="H846" s="7"/>
      <c r="I846" s="10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7" customHeight="1">
      <c r="A847" s="7"/>
      <c r="B847" s="7"/>
      <c r="C847" s="7"/>
      <c r="D847" s="7"/>
      <c r="E847" s="7"/>
      <c r="F847" s="7"/>
      <c r="G847" s="7"/>
      <c r="H847" s="7"/>
      <c r="I847" s="10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7" customHeight="1">
      <c r="A848" s="7"/>
      <c r="B848" s="7"/>
      <c r="C848" s="7"/>
      <c r="D848" s="7"/>
      <c r="E848" s="7"/>
      <c r="F848" s="7"/>
      <c r="G848" s="7"/>
      <c r="H848" s="7"/>
      <c r="I848" s="10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7" customHeight="1">
      <c r="A849" s="7"/>
      <c r="B849" s="7"/>
      <c r="C849" s="7"/>
      <c r="D849" s="7"/>
      <c r="E849" s="7"/>
      <c r="F849" s="7"/>
      <c r="G849" s="7"/>
      <c r="H849" s="7"/>
      <c r="I849" s="10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7" customHeight="1">
      <c r="A850" s="7"/>
      <c r="B850" s="7"/>
      <c r="C850" s="7"/>
      <c r="D850" s="7"/>
      <c r="E850" s="7"/>
      <c r="F850" s="7"/>
      <c r="G850" s="7"/>
      <c r="H850" s="7"/>
      <c r="I850" s="10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7" customHeight="1">
      <c r="A851" s="7"/>
      <c r="B851" s="7"/>
      <c r="C851" s="7"/>
      <c r="D851" s="7"/>
      <c r="E851" s="7"/>
      <c r="F851" s="7"/>
      <c r="G851" s="7"/>
      <c r="H851" s="7"/>
      <c r="I851" s="10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7" customHeight="1">
      <c r="A852" s="7"/>
      <c r="B852" s="7"/>
      <c r="C852" s="7"/>
      <c r="D852" s="7"/>
      <c r="E852" s="7"/>
      <c r="F852" s="7"/>
      <c r="G852" s="7"/>
      <c r="H852" s="7"/>
      <c r="I852" s="10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7" customHeight="1">
      <c r="A853" s="7"/>
      <c r="B853" s="7"/>
      <c r="C853" s="7"/>
      <c r="D853" s="7"/>
      <c r="E853" s="7"/>
      <c r="F853" s="7"/>
      <c r="G853" s="7"/>
      <c r="H853" s="7"/>
      <c r="I853" s="10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7" customHeight="1">
      <c r="A854" s="7"/>
      <c r="B854" s="7"/>
      <c r="C854" s="7"/>
      <c r="D854" s="7"/>
      <c r="E854" s="7"/>
      <c r="F854" s="7"/>
      <c r="G854" s="7"/>
      <c r="H854" s="7"/>
      <c r="I854" s="10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7" customHeight="1">
      <c r="A855" s="7"/>
      <c r="B855" s="7"/>
      <c r="C855" s="7"/>
      <c r="D855" s="7"/>
      <c r="E855" s="7"/>
      <c r="F855" s="7"/>
      <c r="G855" s="7"/>
      <c r="H855" s="7"/>
      <c r="I855" s="10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7" customHeight="1">
      <c r="A856" s="7"/>
      <c r="B856" s="7"/>
      <c r="C856" s="7"/>
      <c r="D856" s="7"/>
      <c r="E856" s="7"/>
      <c r="F856" s="7"/>
      <c r="G856" s="7"/>
      <c r="H856" s="7"/>
      <c r="I856" s="10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7" customHeight="1">
      <c r="A857" s="7"/>
      <c r="B857" s="7"/>
      <c r="C857" s="7"/>
      <c r="D857" s="7"/>
      <c r="E857" s="7"/>
      <c r="F857" s="7"/>
      <c r="G857" s="7"/>
      <c r="H857" s="7"/>
      <c r="I857" s="10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7" customHeight="1">
      <c r="A858" s="7"/>
      <c r="B858" s="7"/>
      <c r="C858" s="7"/>
      <c r="D858" s="7"/>
      <c r="E858" s="7"/>
      <c r="F858" s="7"/>
      <c r="G858" s="7"/>
      <c r="H858" s="7"/>
      <c r="I858" s="10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7" customHeight="1">
      <c r="A859" s="7"/>
      <c r="B859" s="7"/>
      <c r="C859" s="7"/>
      <c r="D859" s="7"/>
      <c r="E859" s="7"/>
      <c r="F859" s="7"/>
      <c r="G859" s="7"/>
      <c r="H859" s="7"/>
      <c r="I859" s="10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7" customHeight="1">
      <c r="A860" s="7"/>
      <c r="B860" s="7"/>
      <c r="C860" s="7"/>
      <c r="D860" s="7"/>
      <c r="E860" s="7"/>
      <c r="F860" s="7"/>
      <c r="G860" s="7"/>
      <c r="H860" s="7"/>
      <c r="I860" s="10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7" customHeight="1">
      <c r="A861" s="7"/>
      <c r="B861" s="7"/>
      <c r="C861" s="7"/>
      <c r="D861" s="7"/>
      <c r="E861" s="7"/>
      <c r="F861" s="7"/>
      <c r="G861" s="7"/>
      <c r="H861" s="7"/>
      <c r="I861" s="10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7" customHeight="1">
      <c r="A862" s="7"/>
      <c r="B862" s="7"/>
      <c r="C862" s="7"/>
      <c r="D862" s="7"/>
      <c r="E862" s="7"/>
      <c r="F862" s="7"/>
      <c r="G862" s="7"/>
      <c r="H862" s="7"/>
      <c r="I862" s="10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7" customHeight="1">
      <c r="A863" s="7"/>
      <c r="B863" s="7"/>
      <c r="C863" s="7"/>
      <c r="D863" s="7"/>
      <c r="E863" s="7"/>
      <c r="F863" s="7"/>
      <c r="G863" s="7"/>
      <c r="H863" s="7"/>
      <c r="I863" s="10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7" customHeight="1">
      <c r="A864" s="7"/>
      <c r="B864" s="7"/>
      <c r="C864" s="7"/>
      <c r="D864" s="7"/>
      <c r="E864" s="7"/>
      <c r="F864" s="7"/>
      <c r="G864" s="7"/>
      <c r="H864" s="7"/>
      <c r="I864" s="10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7" customHeight="1">
      <c r="A865" s="7"/>
      <c r="B865" s="7"/>
      <c r="C865" s="7"/>
      <c r="D865" s="7"/>
      <c r="E865" s="7"/>
      <c r="F865" s="7"/>
      <c r="G865" s="7"/>
      <c r="H865" s="7"/>
      <c r="I865" s="10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7" customHeight="1">
      <c r="A866" s="7"/>
      <c r="B866" s="7"/>
      <c r="C866" s="7"/>
      <c r="D866" s="7"/>
      <c r="E866" s="7"/>
      <c r="F866" s="7"/>
      <c r="G866" s="7"/>
      <c r="H866" s="7"/>
      <c r="I866" s="10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7" customHeight="1">
      <c r="A867" s="7"/>
      <c r="B867" s="7"/>
      <c r="C867" s="7"/>
      <c r="D867" s="7"/>
      <c r="E867" s="7"/>
      <c r="F867" s="7"/>
      <c r="G867" s="7"/>
      <c r="H867" s="7"/>
      <c r="I867" s="10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7" customHeight="1">
      <c r="A868" s="7"/>
      <c r="B868" s="7"/>
      <c r="C868" s="7"/>
      <c r="D868" s="7"/>
      <c r="E868" s="7"/>
      <c r="F868" s="7"/>
      <c r="G868" s="7"/>
      <c r="H868" s="7"/>
      <c r="I868" s="10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7" customHeight="1">
      <c r="A869" s="7"/>
      <c r="B869" s="7"/>
      <c r="C869" s="7"/>
      <c r="D869" s="7"/>
      <c r="E869" s="7"/>
      <c r="F869" s="7"/>
      <c r="G869" s="7"/>
      <c r="H869" s="7"/>
      <c r="I869" s="10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7" customHeight="1">
      <c r="A870" s="7"/>
      <c r="B870" s="7"/>
      <c r="C870" s="7"/>
      <c r="D870" s="7"/>
      <c r="E870" s="7"/>
      <c r="F870" s="7"/>
      <c r="G870" s="7"/>
      <c r="H870" s="7"/>
      <c r="I870" s="10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7" customHeight="1">
      <c r="A871" s="7"/>
      <c r="B871" s="7"/>
      <c r="C871" s="7"/>
      <c r="D871" s="7"/>
      <c r="E871" s="7"/>
      <c r="F871" s="7"/>
      <c r="G871" s="7"/>
      <c r="H871" s="7"/>
      <c r="I871" s="10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7" customHeight="1">
      <c r="A872" s="7"/>
      <c r="B872" s="7"/>
      <c r="C872" s="7"/>
      <c r="D872" s="7"/>
      <c r="E872" s="7"/>
      <c r="F872" s="7"/>
      <c r="G872" s="7"/>
      <c r="H872" s="7"/>
      <c r="I872" s="10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7" customHeight="1">
      <c r="A873" s="7"/>
      <c r="B873" s="7"/>
      <c r="C873" s="7"/>
      <c r="D873" s="7"/>
      <c r="E873" s="7"/>
      <c r="F873" s="7"/>
      <c r="G873" s="7"/>
      <c r="H873" s="7"/>
      <c r="I873" s="10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7" customHeight="1">
      <c r="A874" s="7"/>
      <c r="B874" s="7"/>
      <c r="C874" s="7"/>
      <c r="D874" s="7"/>
      <c r="E874" s="7"/>
      <c r="F874" s="7"/>
      <c r="G874" s="7"/>
      <c r="H874" s="7"/>
      <c r="I874" s="10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7" customHeight="1">
      <c r="A875" s="7"/>
      <c r="B875" s="7"/>
      <c r="C875" s="7"/>
      <c r="D875" s="7"/>
      <c r="E875" s="7"/>
      <c r="F875" s="7"/>
      <c r="G875" s="7"/>
      <c r="H875" s="7"/>
      <c r="I875" s="10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7" customHeight="1">
      <c r="A876" s="7"/>
      <c r="B876" s="7"/>
      <c r="C876" s="7"/>
      <c r="D876" s="7"/>
      <c r="E876" s="7"/>
      <c r="F876" s="7"/>
      <c r="G876" s="7"/>
      <c r="H876" s="7"/>
      <c r="I876" s="10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7" customHeight="1">
      <c r="A877" s="7"/>
      <c r="B877" s="7"/>
      <c r="C877" s="7"/>
      <c r="D877" s="7"/>
      <c r="E877" s="7"/>
      <c r="F877" s="7"/>
      <c r="G877" s="7"/>
      <c r="H877" s="7"/>
      <c r="I877" s="10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7" customHeight="1">
      <c r="A878" s="7"/>
      <c r="B878" s="7"/>
      <c r="C878" s="7"/>
      <c r="D878" s="7"/>
      <c r="E878" s="7"/>
      <c r="F878" s="7"/>
      <c r="G878" s="7"/>
      <c r="H878" s="7"/>
      <c r="I878" s="10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7" customHeight="1">
      <c r="A879" s="7"/>
      <c r="B879" s="7"/>
      <c r="C879" s="7"/>
      <c r="D879" s="7"/>
      <c r="E879" s="7"/>
      <c r="F879" s="7"/>
      <c r="G879" s="7"/>
      <c r="H879" s="7"/>
      <c r="I879" s="10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7" customHeight="1">
      <c r="A880" s="7"/>
      <c r="B880" s="7"/>
      <c r="C880" s="7"/>
      <c r="D880" s="7"/>
      <c r="E880" s="7"/>
      <c r="F880" s="7"/>
      <c r="G880" s="7"/>
      <c r="H880" s="7"/>
      <c r="I880" s="10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7" customHeight="1">
      <c r="A881" s="7"/>
      <c r="B881" s="7"/>
      <c r="C881" s="7"/>
      <c r="D881" s="7"/>
      <c r="E881" s="7"/>
      <c r="F881" s="7"/>
      <c r="G881" s="7"/>
      <c r="H881" s="7"/>
      <c r="I881" s="10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7" customHeight="1">
      <c r="A882" s="7"/>
      <c r="B882" s="7"/>
      <c r="C882" s="7"/>
      <c r="D882" s="7"/>
      <c r="E882" s="7"/>
      <c r="F882" s="7"/>
      <c r="G882" s="7"/>
      <c r="H882" s="7"/>
      <c r="I882" s="10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7" customHeight="1">
      <c r="A883" s="7"/>
      <c r="B883" s="7"/>
      <c r="C883" s="7"/>
      <c r="D883" s="7"/>
      <c r="E883" s="7"/>
      <c r="F883" s="7"/>
      <c r="G883" s="7"/>
      <c r="H883" s="7"/>
      <c r="I883" s="10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7" customHeight="1">
      <c r="A884" s="7"/>
      <c r="B884" s="7"/>
      <c r="C884" s="7"/>
      <c r="D884" s="7"/>
      <c r="E884" s="7"/>
      <c r="F884" s="7"/>
      <c r="G884" s="7"/>
      <c r="H884" s="7"/>
      <c r="I884" s="10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7" customHeight="1">
      <c r="A885" s="7"/>
      <c r="B885" s="7"/>
      <c r="C885" s="7"/>
      <c r="D885" s="7"/>
      <c r="E885" s="7"/>
      <c r="F885" s="7"/>
      <c r="G885" s="7"/>
      <c r="H885" s="7"/>
      <c r="I885" s="10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7" customHeight="1">
      <c r="A886" s="7"/>
      <c r="B886" s="7"/>
      <c r="C886" s="7"/>
      <c r="D886" s="7"/>
      <c r="E886" s="7"/>
      <c r="F886" s="7"/>
      <c r="G886" s="7"/>
      <c r="H886" s="7"/>
      <c r="I886" s="10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7" customHeight="1">
      <c r="A887" s="7"/>
      <c r="B887" s="7"/>
      <c r="C887" s="7"/>
      <c r="D887" s="7"/>
      <c r="E887" s="7"/>
      <c r="F887" s="7"/>
      <c r="G887" s="7"/>
      <c r="H887" s="7"/>
      <c r="I887" s="10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7" customHeight="1">
      <c r="A888" s="7"/>
      <c r="B888" s="7"/>
      <c r="C888" s="7"/>
      <c r="D888" s="7"/>
      <c r="E888" s="7"/>
      <c r="F888" s="7"/>
      <c r="G888" s="7"/>
      <c r="H888" s="7"/>
      <c r="I888" s="10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7" customHeight="1">
      <c r="A889" s="7"/>
      <c r="B889" s="7"/>
      <c r="C889" s="7"/>
      <c r="D889" s="7"/>
      <c r="E889" s="7"/>
      <c r="F889" s="7"/>
      <c r="G889" s="7"/>
      <c r="H889" s="7"/>
      <c r="I889" s="10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7" customHeight="1">
      <c r="A890" s="7"/>
      <c r="B890" s="7"/>
      <c r="C890" s="7"/>
      <c r="D890" s="7"/>
      <c r="E890" s="7"/>
      <c r="F890" s="7"/>
      <c r="G890" s="7"/>
      <c r="H890" s="7"/>
      <c r="I890" s="10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7" customHeight="1">
      <c r="A891" s="7"/>
      <c r="B891" s="7"/>
      <c r="C891" s="7"/>
      <c r="D891" s="7"/>
      <c r="E891" s="7"/>
      <c r="F891" s="7"/>
      <c r="G891" s="7"/>
      <c r="H891" s="7"/>
      <c r="I891" s="10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7" customHeight="1">
      <c r="A892" s="7"/>
      <c r="B892" s="7"/>
      <c r="C892" s="7"/>
      <c r="D892" s="7"/>
      <c r="E892" s="7"/>
      <c r="F892" s="7"/>
      <c r="G892" s="7"/>
      <c r="H892" s="7"/>
      <c r="I892" s="10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7" customHeight="1">
      <c r="A893" s="7"/>
      <c r="B893" s="7"/>
      <c r="C893" s="7"/>
      <c r="D893" s="7"/>
      <c r="E893" s="7"/>
      <c r="F893" s="7"/>
      <c r="G893" s="7"/>
      <c r="H893" s="7"/>
      <c r="I893" s="10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7" customHeight="1">
      <c r="A894" s="7"/>
      <c r="B894" s="7"/>
      <c r="C894" s="7"/>
      <c r="D894" s="7"/>
      <c r="E894" s="7"/>
      <c r="F894" s="7"/>
      <c r="G894" s="7"/>
      <c r="H894" s="7"/>
      <c r="I894" s="10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7" customHeight="1">
      <c r="A895" s="7"/>
      <c r="B895" s="7"/>
      <c r="C895" s="7"/>
      <c r="D895" s="7"/>
      <c r="E895" s="7"/>
      <c r="F895" s="7"/>
      <c r="G895" s="7"/>
      <c r="H895" s="7"/>
      <c r="I895" s="10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7" customHeight="1">
      <c r="A896" s="7"/>
      <c r="B896" s="7"/>
      <c r="C896" s="7"/>
      <c r="D896" s="7"/>
      <c r="E896" s="7"/>
      <c r="F896" s="7"/>
      <c r="G896" s="7"/>
      <c r="H896" s="7"/>
      <c r="I896" s="10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7" customHeight="1">
      <c r="A897" s="7"/>
      <c r="B897" s="7"/>
      <c r="C897" s="7"/>
      <c r="D897" s="7"/>
      <c r="E897" s="7"/>
      <c r="F897" s="7"/>
      <c r="G897" s="7"/>
      <c r="H897" s="7"/>
      <c r="I897" s="10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7" customHeight="1">
      <c r="A898" s="7"/>
      <c r="B898" s="7"/>
      <c r="C898" s="7"/>
      <c r="D898" s="7"/>
      <c r="E898" s="7"/>
      <c r="F898" s="7"/>
      <c r="G898" s="7"/>
      <c r="H898" s="7"/>
      <c r="I898" s="10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7" customHeight="1">
      <c r="A899" s="7"/>
      <c r="B899" s="7"/>
      <c r="C899" s="7"/>
      <c r="D899" s="7"/>
      <c r="E899" s="7"/>
      <c r="F899" s="7"/>
      <c r="G899" s="7"/>
      <c r="H899" s="7"/>
      <c r="I899" s="10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7" customHeight="1">
      <c r="A900" s="7"/>
      <c r="B900" s="7"/>
      <c r="C900" s="7"/>
      <c r="D900" s="7"/>
      <c r="E900" s="7"/>
      <c r="F900" s="7"/>
      <c r="G900" s="7"/>
      <c r="H900" s="7"/>
      <c r="I900" s="10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7" customHeight="1">
      <c r="A901" s="7"/>
      <c r="B901" s="7"/>
      <c r="C901" s="7"/>
      <c r="D901" s="7"/>
      <c r="E901" s="7"/>
      <c r="F901" s="7"/>
      <c r="G901" s="7"/>
      <c r="H901" s="7"/>
      <c r="I901" s="10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7" customHeight="1">
      <c r="A902" s="7"/>
      <c r="B902" s="7"/>
      <c r="C902" s="7"/>
      <c r="D902" s="7"/>
      <c r="E902" s="7"/>
      <c r="F902" s="7"/>
      <c r="G902" s="7"/>
      <c r="H902" s="7"/>
      <c r="I902" s="10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7" customHeight="1">
      <c r="A903" s="7"/>
      <c r="B903" s="7"/>
      <c r="C903" s="7"/>
      <c r="D903" s="7"/>
      <c r="E903" s="7"/>
      <c r="F903" s="7"/>
      <c r="G903" s="7"/>
      <c r="H903" s="7"/>
      <c r="I903" s="10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7" customHeight="1">
      <c r="A904" s="7"/>
      <c r="B904" s="7"/>
      <c r="C904" s="7"/>
      <c r="D904" s="7"/>
      <c r="E904" s="7"/>
      <c r="F904" s="7"/>
      <c r="G904" s="7"/>
      <c r="H904" s="7"/>
      <c r="I904" s="10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7" customHeight="1">
      <c r="A905" s="7"/>
      <c r="B905" s="7"/>
      <c r="C905" s="7"/>
      <c r="D905" s="7"/>
      <c r="E905" s="7"/>
      <c r="F905" s="7"/>
      <c r="G905" s="7"/>
      <c r="H905" s="7"/>
      <c r="I905" s="10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7" customHeight="1">
      <c r="A906" s="7"/>
      <c r="B906" s="7"/>
      <c r="C906" s="7"/>
      <c r="D906" s="7"/>
      <c r="E906" s="7"/>
      <c r="F906" s="7"/>
      <c r="G906" s="7"/>
      <c r="H906" s="7"/>
      <c r="I906" s="10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7" customHeight="1">
      <c r="A907" s="7"/>
      <c r="B907" s="7"/>
      <c r="C907" s="7"/>
      <c r="D907" s="7"/>
      <c r="E907" s="7"/>
      <c r="F907" s="7"/>
      <c r="G907" s="7"/>
      <c r="H907" s="7"/>
      <c r="I907" s="10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7" customHeight="1">
      <c r="A908" s="7"/>
      <c r="B908" s="7"/>
      <c r="C908" s="7"/>
      <c r="D908" s="7"/>
      <c r="E908" s="7"/>
      <c r="F908" s="7"/>
      <c r="G908" s="7"/>
      <c r="H908" s="7"/>
      <c r="I908" s="10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7" customHeight="1">
      <c r="A909" s="7"/>
      <c r="B909" s="7"/>
      <c r="C909" s="7"/>
      <c r="D909" s="7"/>
      <c r="E909" s="7"/>
      <c r="F909" s="7"/>
      <c r="G909" s="7"/>
      <c r="H909" s="7"/>
      <c r="I909" s="10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7" customHeight="1">
      <c r="A910" s="7"/>
      <c r="B910" s="7"/>
      <c r="C910" s="7"/>
      <c r="D910" s="7"/>
      <c r="E910" s="7"/>
      <c r="F910" s="7"/>
      <c r="G910" s="7"/>
      <c r="H910" s="7"/>
      <c r="I910" s="10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7" customHeight="1">
      <c r="A911" s="7"/>
      <c r="B911" s="7"/>
      <c r="C911" s="7"/>
      <c r="D911" s="7"/>
      <c r="E911" s="7"/>
      <c r="F911" s="7"/>
      <c r="G911" s="7"/>
      <c r="H911" s="7"/>
      <c r="I911" s="10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7" customHeight="1">
      <c r="A912" s="7"/>
      <c r="B912" s="7"/>
      <c r="C912" s="7"/>
      <c r="D912" s="7"/>
      <c r="E912" s="7"/>
      <c r="F912" s="7"/>
      <c r="G912" s="7"/>
      <c r="H912" s="7"/>
      <c r="I912" s="10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7" customHeight="1">
      <c r="A913" s="7"/>
      <c r="B913" s="7"/>
      <c r="C913" s="7"/>
      <c r="D913" s="7"/>
      <c r="E913" s="7"/>
      <c r="F913" s="7"/>
      <c r="G913" s="7"/>
      <c r="H913" s="7"/>
      <c r="I913" s="10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7" customHeight="1">
      <c r="A914" s="7"/>
      <c r="B914" s="7"/>
      <c r="C914" s="7"/>
      <c r="D914" s="7"/>
      <c r="E914" s="7"/>
      <c r="F914" s="7"/>
      <c r="G914" s="7"/>
      <c r="H914" s="7"/>
      <c r="I914" s="10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7" customHeight="1">
      <c r="A915" s="7"/>
      <c r="B915" s="7"/>
      <c r="C915" s="7"/>
      <c r="D915" s="7"/>
      <c r="E915" s="7"/>
      <c r="F915" s="7"/>
      <c r="G915" s="7"/>
      <c r="H915" s="7"/>
      <c r="I915" s="10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7" customHeight="1">
      <c r="A916" s="7"/>
      <c r="B916" s="7"/>
      <c r="C916" s="7"/>
      <c r="D916" s="7"/>
      <c r="E916" s="7"/>
      <c r="F916" s="7"/>
      <c r="G916" s="7"/>
      <c r="H916" s="7"/>
      <c r="I916" s="10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7" customHeight="1">
      <c r="A917" s="7"/>
      <c r="B917" s="7"/>
      <c r="C917" s="7"/>
      <c r="D917" s="7"/>
      <c r="E917" s="7"/>
      <c r="F917" s="7"/>
      <c r="G917" s="7"/>
      <c r="H917" s="7"/>
      <c r="I917" s="10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7" customHeight="1">
      <c r="A918" s="7"/>
      <c r="B918" s="7"/>
      <c r="C918" s="7"/>
      <c r="D918" s="7"/>
      <c r="E918" s="7"/>
      <c r="F918" s="7"/>
      <c r="G918" s="7"/>
      <c r="H918" s="7"/>
      <c r="I918" s="10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7" customHeight="1">
      <c r="A919" s="7"/>
      <c r="B919" s="7"/>
      <c r="C919" s="7"/>
      <c r="D919" s="7"/>
      <c r="E919" s="7"/>
      <c r="F919" s="7"/>
      <c r="G919" s="7"/>
      <c r="H919" s="7"/>
      <c r="I919" s="10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7" customHeight="1">
      <c r="A920" s="7"/>
      <c r="B920" s="7"/>
      <c r="C920" s="7"/>
      <c r="D920" s="7"/>
      <c r="E920" s="7"/>
      <c r="F920" s="7"/>
      <c r="G920" s="7"/>
      <c r="H920" s="7"/>
      <c r="I920" s="10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7" customHeight="1">
      <c r="A921" s="7"/>
      <c r="B921" s="7"/>
      <c r="C921" s="7"/>
      <c r="D921" s="7"/>
      <c r="E921" s="7"/>
      <c r="F921" s="7"/>
      <c r="G921" s="7"/>
      <c r="H921" s="7"/>
      <c r="I921" s="10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7" customHeight="1">
      <c r="A922" s="7"/>
      <c r="B922" s="7"/>
      <c r="C922" s="7"/>
      <c r="D922" s="7"/>
      <c r="E922" s="7"/>
      <c r="F922" s="7"/>
      <c r="G922" s="7"/>
      <c r="H922" s="7"/>
      <c r="I922" s="10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7" customHeight="1">
      <c r="A923" s="7"/>
      <c r="B923" s="7"/>
      <c r="C923" s="7"/>
      <c r="D923" s="7"/>
      <c r="E923" s="7"/>
      <c r="F923" s="7"/>
      <c r="G923" s="7"/>
      <c r="H923" s="7"/>
      <c r="I923" s="10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7" customHeight="1">
      <c r="A924" s="7"/>
      <c r="B924" s="7"/>
      <c r="C924" s="7"/>
      <c r="D924" s="7"/>
      <c r="E924" s="7"/>
      <c r="F924" s="7"/>
      <c r="G924" s="7"/>
      <c r="H924" s="7"/>
      <c r="I924" s="10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7" customHeight="1">
      <c r="A925" s="7"/>
      <c r="B925" s="7"/>
      <c r="C925" s="7"/>
      <c r="D925" s="7"/>
      <c r="E925" s="7"/>
      <c r="F925" s="7"/>
      <c r="G925" s="7"/>
      <c r="H925" s="7"/>
      <c r="I925" s="10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7" customHeight="1">
      <c r="A926" s="7"/>
      <c r="B926" s="7"/>
      <c r="C926" s="7"/>
      <c r="D926" s="7"/>
      <c r="E926" s="7"/>
      <c r="F926" s="7"/>
      <c r="G926" s="7"/>
      <c r="H926" s="7"/>
      <c r="I926" s="10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7" customHeight="1">
      <c r="A927" s="7"/>
      <c r="B927" s="7"/>
      <c r="C927" s="7"/>
      <c r="D927" s="7"/>
      <c r="E927" s="7"/>
      <c r="F927" s="7"/>
      <c r="G927" s="7"/>
      <c r="H927" s="7"/>
      <c r="I927" s="10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7" customHeight="1">
      <c r="A928" s="7"/>
      <c r="B928" s="7"/>
      <c r="C928" s="7"/>
      <c r="D928" s="7"/>
      <c r="E928" s="7"/>
      <c r="F928" s="7"/>
      <c r="G928" s="7"/>
      <c r="H928" s="7"/>
      <c r="I928" s="10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7" customHeight="1">
      <c r="A929" s="7"/>
      <c r="B929" s="7"/>
      <c r="C929" s="7"/>
      <c r="D929" s="7"/>
      <c r="E929" s="7"/>
      <c r="F929" s="7"/>
      <c r="G929" s="7"/>
      <c r="H929" s="7"/>
      <c r="I929" s="10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7" customHeight="1">
      <c r="A930" s="7"/>
      <c r="B930" s="7"/>
      <c r="C930" s="7"/>
      <c r="D930" s="7"/>
      <c r="E930" s="7"/>
      <c r="F930" s="7"/>
      <c r="G930" s="7"/>
      <c r="H930" s="7"/>
      <c r="I930" s="10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7" customHeight="1">
      <c r="A931" s="7"/>
      <c r="B931" s="7"/>
      <c r="C931" s="7"/>
      <c r="D931" s="7"/>
      <c r="E931" s="7"/>
      <c r="F931" s="7"/>
      <c r="G931" s="7"/>
      <c r="H931" s="7"/>
      <c r="I931" s="10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7" customHeight="1">
      <c r="A932" s="7"/>
      <c r="B932" s="7"/>
      <c r="C932" s="7"/>
      <c r="D932" s="7"/>
      <c r="E932" s="7"/>
      <c r="F932" s="7"/>
      <c r="G932" s="7"/>
      <c r="H932" s="7"/>
      <c r="I932" s="10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7" customHeight="1">
      <c r="A933" s="7"/>
      <c r="B933" s="7"/>
      <c r="C933" s="7"/>
      <c r="D933" s="7"/>
      <c r="E933" s="7"/>
      <c r="F933" s="7"/>
      <c r="G933" s="7"/>
      <c r="H933" s="7"/>
      <c r="I933" s="10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7" customHeight="1">
      <c r="A934" s="7"/>
      <c r="B934" s="7"/>
      <c r="C934" s="7"/>
      <c r="D934" s="7"/>
      <c r="E934" s="7"/>
      <c r="F934" s="7"/>
      <c r="G934" s="7"/>
      <c r="H934" s="7"/>
      <c r="I934" s="10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7" customHeight="1">
      <c r="A935" s="7"/>
      <c r="B935" s="7"/>
      <c r="C935" s="7"/>
      <c r="D935" s="7"/>
      <c r="E935" s="7"/>
      <c r="F935" s="7"/>
      <c r="G935" s="7"/>
      <c r="H935" s="7"/>
      <c r="I935" s="10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7" customHeight="1">
      <c r="A936" s="7"/>
      <c r="B936" s="7"/>
      <c r="C936" s="7"/>
      <c r="D936" s="7"/>
      <c r="E936" s="7"/>
      <c r="F936" s="7"/>
      <c r="G936" s="7"/>
      <c r="H936" s="7"/>
      <c r="I936" s="10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7" customHeight="1">
      <c r="A937" s="7"/>
      <c r="B937" s="7"/>
      <c r="C937" s="7"/>
      <c r="D937" s="7"/>
      <c r="E937" s="7"/>
      <c r="F937" s="7"/>
      <c r="G937" s="7"/>
      <c r="H937" s="7"/>
      <c r="I937" s="10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7" customHeight="1">
      <c r="A938" s="7"/>
      <c r="B938" s="7"/>
      <c r="C938" s="7"/>
      <c r="D938" s="7"/>
      <c r="E938" s="7"/>
      <c r="F938" s="7"/>
      <c r="G938" s="7"/>
      <c r="H938" s="7"/>
      <c r="I938" s="10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7" customHeight="1">
      <c r="A939" s="7"/>
      <c r="B939" s="7"/>
      <c r="C939" s="7"/>
      <c r="D939" s="7"/>
      <c r="E939" s="7"/>
      <c r="F939" s="7"/>
      <c r="G939" s="7"/>
      <c r="H939" s="7"/>
      <c r="I939" s="10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7" customHeight="1">
      <c r="A940" s="7"/>
      <c r="B940" s="7"/>
      <c r="C940" s="7"/>
      <c r="D940" s="7"/>
      <c r="E940" s="7"/>
      <c r="F940" s="7"/>
      <c r="G940" s="7"/>
      <c r="H940" s="7"/>
      <c r="I940" s="10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7" customHeight="1">
      <c r="A941" s="7"/>
      <c r="B941" s="7"/>
      <c r="C941" s="7"/>
      <c r="D941" s="7"/>
      <c r="E941" s="7"/>
      <c r="F941" s="7"/>
      <c r="G941" s="7"/>
      <c r="H941" s="7"/>
      <c r="I941" s="10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7" customHeight="1">
      <c r="A942" s="7"/>
      <c r="B942" s="7"/>
      <c r="C942" s="7"/>
      <c r="D942" s="7"/>
      <c r="E942" s="7"/>
      <c r="F942" s="7"/>
      <c r="G942" s="7"/>
      <c r="H942" s="7"/>
      <c r="I942" s="10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7" customHeight="1">
      <c r="A943" s="7"/>
      <c r="B943" s="7"/>
      <c r="C943" s="7"/>
      <c r="D943" s="7"/>
      <c r="E943" s="7"/>
      <c r="F943" s="7"/>
      <c r="G943" s="7"/>
      <c r="H943" s="7"/>
      <c r="I943" s="10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7" customHeight="1">
      <c r="A944" s="7"/>
      <c r="B944" s="7"/>
      <c r="C944" s="7"/>
      <c r="D944" s="7"/>
      <c r="E944" s="7"/>
      <c r="F944" s="7"/>
      <c r="G944" s="7"/>
      <c r="H944" s="7"/>
      <c r="I944" s="10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7" customHeight="1">
      <c r="A945" s="7"/>
      <c r="B945" s="7"/>
      <c r="C945" s="7"/>
      <c r="D945" s="7"/>
      <c r="E945" s="7"/>
      <c r="F945" s="7"/>
      <c r="G945" s="7"/>
      <c r="H945" s="7"/>
      <c r="I945" s="10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7" customHeight="1">
      <c r="A946" s="7"/>
      <c r="B946" s="7"/>
      <c r="C946" s="7"/>
      <c r="D946" s="7"/>
      <c r="E946" s="7"/>
      <c r="F946" s="7"/>
      <c r="G946" s="7"/>
      <c r="H946" s="7"/>
      <c r="I946" s="10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7" customHeight="1">
      <c r="A947" s="7"/>
      <c r="B947" s="7"/>
      <c r="C947" s="7"/>
      <c r="D947" s="7"/>
      <c r="E947" s="7"/>
      <c r="F947" s="7"/>
      <c r="G947" s="7"/>
      <c r="H947" s="7"/>
      <c r="I947" s="10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7" customHeight="1">
      <c r="A948" s="7"/>
      <c r="B948" s="7"/>
      <c r="C948" s="7"/>
      <c r="D948" s="7"/>
      <c r="E948" s="7"/>
      <c r="F948" s="7"/>
      <c r="G948" s="7"/>
      <c r="H948" s="7"/>
      <c r="I948" s="10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7" customHeight="1">
      <c r="A949" s="7"/>
      <c r="B949" s="7"/>
      <c r="C949" s="7"/>
      <c r="D949" s="7"/>
      <c r="E949" s="7"/>
      <c r="F949" s="7"/>
      <c r="G949" s="7"/>
      <c r="H949" s="7"/>
      <c r="I949" s="10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7" customHeight="1">
      <c r="A950" s="7"/>
      <c r="B950" s="7"/>
      <c r="C950" s="7"/>
      <c r="D950" s="7"/>
      <c r="E950" s="7"/>
      <c r="F950" s="7"/>
      <c r="G950" s="7"/>
      <c r="H950" s="7"/>
      <c r="I950" s="10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7" customHeight="1">
      <c r="A951" s="7"/>
      <c r="B951" s="7"/>
      <c r="C951" s="7"/>
      <c r="D951" s="7"/>
      <c r="E951" s="7"/>
      <c r="F951" s="7"/>
      <c r="G951" s="7"/>
      <c r="H951" s="7"/>
      <c r="I951" s="10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7" customHeight="1">
      <c r="A952" s="7"/>
      <c r="B952" s="7"/>
      <c r="C952" s="7"/>
      <c r="D952" s="7"/>
      <c r="E952" s="7"/>
      <c r="F952" s="7"/>
      <c r="G952" s="7"/>
      <c r="H952" s="7"/>
      <c r="I952" s="10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7" customHeight="1">
      <c r="A953" s="7"/>
      <c r="B953" s="7"/>
      <c r="C953" s="7"/>
      <c r="D953" s="7"/>
      <c r="E953" s="7"/>
      <c r="F953" s="7"/>
      <c r="G953" s="7"/>
      <c r="H953" s="7"/>
      <c r="I953" s="10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7" customHeight="1">
      <c r="A954" s="7"/>
      <c r="B954" s="7"/>
      <c r="C954" s="7"/>
      <c r="D954" s="7"/>
      <c r="E954" s="7"/>
      <c r="F954" s="7"/>
      <c r="G954" s="7"/>
      <c r="H954" s="7"/>
      <c r="I954" s="10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7" customHeight="1">
      <c r="A955" s="7"/>
      <c r="B955" s="7"/>
      <c r="C955" s="7"/>
      <c r="D955" s="7"/>
      <c r="E955" s="7"/>
      <c r="F955" s="7"/>
      <c r="G955" s="7"/>
      <c r="H955" s="7"/>
      <c r="I955" s="10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7" customHeight="1">
      <c r="A956" s="7"/>
      <c r="B956" s="7"/>
      <c r="C956" s="7"/>
      <c r="D956" s="7"/>
      <c r="E956" s="7"/>
      <c r="F956" s="7"/>
      <c r="G956" s="7"/>
      <c r="H956" s="7"/>
      <c r="I956" s="10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7" customHeight="1">
      <c r="A957" s="7"/>
      <c r="B957" s="7"/>
      <c r="C957" s="7"/>
      <c r="D957" s="7"/>
      <c r="E957" s="7"/>
      <c r="F957" s="7"/>
      <c r="G957" s="7"/>
      <c r="H957" s="7"/>
      <c r="I957" s="10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7" customHeight="1">
      <c r="A958" s="7"/>
      <c r="B958" s="7"/>
      <c r="C958" s="7"/>
      <c r="D958" s="7"/>
      <c r="E958" s="7"/>
      <c r="F958" s="7"/>
      <c r="G958" s="7"/>
      <c r="H958" s="7"/>
      <c r="I958" s="10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7" customHeight="1">
      <c r="A959" s="7"/>
      <c r="B959" s="7"/>
      <c r="C959" s="7"/>
      <c r="D959" s="7"/>
      <c r="E959" s="7"/>
      <c r="F959" s="7"/>
      <c r="G959" s="7"/>
      <c r="H959" s="7"/>
      <c r="I959" s="10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7" customHeight="1">
      <c r="A960" s="7"/>
      <c r="B960" s="7"/>
      <c r="C960" s="7"/>
      <c r="D960" s="7"/>
      <c r="E960" s="7"/>
      <c r="F960" s="7"/>
      <c r="G960" s="7"/>
      <c r="H960" s="7"/>
      <c r="I960" s="10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7" customHeight="1">
      <c r="A961" s="7"/>
      <c r="B961" s="7"/>
      <c r="C961" s="7"/>
      <c r="D961" s="7"/>
      <c r="E961" s="7"/>
      <c r="F961" s="7"/>
      <c r="G961" s="7"/>
      <c r="H961" s="7"/>
      <c r="I961" s="10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7" customHeight="1">
      <c r="A962" s="7"/>
      <c r="B962" s="7"/>
      <c r="C962" s="7"/>
      <c r="D962" s="7"/>
      <c r="E962" s="7"/>
      <c r="F962" s="7"/>
      <c r="G962" s="7"/>
      <c r="H962" s="7"/>
      <c r="I962" s="10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7" customHeight="1">
      <c r="A963" s="7"/>
      <c r="B963" s="7"/>
      <c r="C963" s="7"/>
      <c r="D963" s="7"/>
      <c r="E963" s="7"/>
      <c r="F963" s="7"/>
      <c r="G963" s="7"/>
      <c r="H963" s="7"/>
      <c r="I963" s="10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7" customHeight="1">
      <c r="A964" s="7"/>
      <c r="B964" s="7"/>
      <c r="C964" s="7"/>
      <c r="D964" s="7"/>
      <c r="E964" s="7"/>
      <c r="F964" s="7"/>
      <c r="G964" s="7"/>
      <c r="H964" s="7"/>
      <c r="I964" s="10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7" customHeight="1">
      <c r="A965" s="7"/>
      <c r="B965" s="7"/>
      <c r="C965" s="7"/>
      <c r="D965" s="7"/>
      <c r="E965" s="7"/>
      <c r="F965" s="7"/>
      <c r="G965" s="7"/>
      <c r="H965" s="7"/>
      <c r="I965" s="10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7" customHeight="1">
      <c r="A966" s="7"/>
      <c r="B966" s="7"/>
      <c r="C966" s="7"/>
      <c r="D966" s="7"/>
      <c r="E966" s="7"/>
      <c r="F966" s="7"/>
      <c r="G966" s="7"/>
      <c r="H966" s="7"/>
      <c r="I966" s="10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7" customHeight="1">
      <c r="A967" s="7"/>
      <c r="B967" s="7"/>
      <c r="C967" s="7"/>
      <c r="D967" s="7"/>
      <c r="E967" s="7"/>
      <c r="F967" s="7"/>
      <c r="G967" s="7"/>
      <c r="H967" s="7"/>
      <c r="I967" s="10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7" customHeight="1">
      <c r="A968" s="7"/>
      <c r="B968" s="7"/>
      <c r="C968" s="7"/>
      <c r="D968" s="7"/>
      <c r="E968" s="7"/>
      <c r="F968" s="7"/>
      <c r="G968" s="7"/>
      <c r="H968" s="7"/>
      <c r="I968" s="10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7" customHeight="1">
      <c r="A969" s="7"/>
      <c r="B969" s="7"/>
      <c r="C969" s="7"/>
      <c r="D969" s="7"/>
      <c r="E969" s="7"/>
      <c r="F969" s="7"/>
      <c r="G969" s="7"/>
      <c r="H969" s="7"/>
      <c r="I969" s="10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7" customHeight="1">
      <c r="A970" s="7"/>
      <c r="B970" s="7"/>
      <c r="C970" s="7"/>
      <c r="D970" s="7"/>
      <c r="E970" s="7"/>
      <c r="F970" s="7"/>
      <c r="G970" s="7"/>
      <c r="H970" s="7"/>
      <c r="I970" s="10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7" customHeight="1">
      <c r="A971" s="7"/>
      <c r="B971" s="7"/>
      <c r="C971" s="7"/>
      <c r="D971" s="7"/>
      <c r="E971" s="7"/>
      <c r="F971" s="7"/>
      <c r="G971" s="7"/>
      <c r="H971" s="7"/>
      <c r="I971" s="10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7" customHeight="1">
      <c r="A972" s="7"/>
      <c r="B972" s="7"/>
      <c r="C972" s="7"/>
      <c r="D972" s="7"/>
      <c r="E972" s="7"/>
      <c r="F972" s="7"/>
      <c r="G972" s="7"/>
      <c r="H972" s="7"/>
      <c r="I972" s="10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7" customHeight="1">
      <c r="A973" s="7"/>
      <c r="B973" s="7"/>
      <c r="C973" s="7"/>
      <c r="D973" s="7"/>
      <c r="E973" s="7"/>
      <c r="F973" s="7"/>
      <c r="G973" s="7"/>
      <c r="H973" s="7"/>
      <c r="I973" s="10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7" customHeight="1">
      <c r="A974" s="7"/>
      <c r="B974" s="7"/>
      <c r="C974" s="7"/>
      <c r="D974" s="7"/>
      <c r="E974" s="7"/>
      <c r="F974" s="7"/>
      <c r="G974" s="7"/>
      <c r="H974" s="7"/>
      <c r="I974" s="10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7" customHeight="1">
      <c r="A975" s="7"/>
      <c r="B975" s="7"/>
      <c r="C975" s="7"/>
      <c r="D975" s="7"/>
      <c r="E975" s="7"/>
      <c r="F975" s="7"/>
      <c r="G975" s="7"/>
      <c r="H975" s="7"/>
      <c r="I975" s="10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7" customHeight="1">
      <c r="A976" s="7"/>
      <c r="B976" s="7"/>
      <c r="C976" s="7"/>
      <c r="D976" s="7"/>
      <c r="E976" s="7"/>
      <c r="F976" s="7"/>
      <c r="G976" s="7"/>
      <c r="H976" s="7"/>
      <c r="I976" s="10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7" customHeight="1">
      <c r="A977" s="7"/>
      <c r="B977" s="7"/>
      <c r="C977" s="7"/>
      <c r="D977" s="7"/>
      <c r="E977" s="7"/>
      <c r="F977" s="7"/>
      <c r="G977" s="7"/>
      <c r="H977" s="7"/>
      <c r="I977" s="10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7" customHeight="1">
      <c r="A978" s="7"/>
      <c r="B978" s="7"/>
      <c r="C978" s="7"/>
      <c r="D978" s="7"/>
      <c r="E978" s="7"/>
      <c r="F978" s="7"/>
      <c r="G978" s="7"/>
      <c r="H978" s="7"/>
      <c r="I978" s="10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7" customHeight="1">
      <c r="A979" s="7"/>
      <c r="B979" s="7"/>
      <c r="C979" s="7"/>
      <c r="D979" s="7"/>
      <c r="E979" s="7"/>
      <c r="F979" s="7"/>
      <c r="G979" s="7"/>
      <c r="H979" s="7"/>
      <c r="I979" s="10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7" customHeight="1">
      <c r="A980" s="7"/>
      <c r="B980" s="7"/>
      <c r="C980" s="7"/>
      <c r="D980" s="7"/>
      <c r="E980" s="7"/>
      <c r="F980" s="7"/>
      <c r="G980" s="7"/>
      <c r="H980" s="7"/>
      <c r="I980" s="10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7" customHeight="1">
      <c r="A981" s="7"/>
      <c r="B981" s="7"/>
      <c r="C981" s="7"/>
      <c r="D981" s="7"/>
      <c r="E981" s="7"/>
      <c r="F981" s="7"/>
      <c r="G981" s="7"/>
      <c r="H981" s="7"/>
      <c r="I981" s="10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7" customHeight="1">
      <c r="A982" s="7"/>
      <c r="B982" s="7"/>
      <c r="C982" s="7"/>
      <c r="D982" s="7"/>
      <c r="E982" s="7"/>
      <c r="F982" s="7"/>
      <c r="G982" s="7"/>
      <c r="H982" s="7"/>
      <c r="I982" s="10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7" customHeight="1">
      <c r="A983" s="7"/>
      <c r="B983" s="7"/>
      <c r="C983" s="7"/>
      <c r="D983" s="7"/>
      <c r="E983" s="7"/>
      <c r="F983" s="7"/>
      <c r="G983" s="7"/>
      <c r="H983" s="7"/>
      <c r="I983" s="10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7" customHeight="1">
      <c r="A984" s="7"/>
      <c r="B984" s="7"/>
      <c r="C984" s="7"/>
      <c r="D984" s="7"/>
      <c r="E984" s="7"/>
      <c r="F984" s="7"/>
      <c r="G984" s="7"/>
      <c r="H984" s="7"/>
      <c r="I984" s="10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7" customHeight="1">
      <c r="A985" s="7"/>
      <c r="B985" s="7"/>
      <c r="C985" s="7"/>
      <c r="D985" s="7"/>
      <c r="E985" s="7"/>
      <c r="F985" s="7"/>
      <c r="G985" s="7"/>
      <c r="H985" s="7"/>
      <c r="I985" s="10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7" customHeight="1">
      <c r="A986" s="7"/>
      <c r="B986" s="7"/>
      <c r="C986" s="7"/>
      <c r="D986" s="7"/>
      <c r="E986" s="7"/>
      <c r="F986" s="7"/>
      <c r="G986" s="7"/>
      <c r="H986" s="7"/>
      <c r="I986" s="10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7" customHeight="1">
      <c r="A987" s="7"/>
      <c r="B987" s="7"/>
      <c r="C987" s="7"/>
      <c r="D987" s="7"/>
      <c r="E987" s="7"/>
      <c r="F987" s="7"/>
      <c r="G987" s="7"/>
      <c r="H987" s="7"/>
      <c r="I987" s="10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7" customHeight="1">
      <c r="A988" s="7"/>
      <c r="B988" s="7"/>
      <c r="C988" s="7"/>
      <c r="D988" s="7"/>
      <c r="E988" s="7"/>
      <c r="F988" s="7"/>
      <c r="G988" s="7"/>
      <c r="H988" s="7"/>
      <c r="I988" s="10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7" customHeight="1">
      <c r="A989" s="7"/>
      <c r="B989" s="7"/>
      <c r="C989" s="7"/>
      <c r="D989" s="7"/>
      <c r="E989" s="7"/>
      <c r="F989" s="7"/>
      <c r="G989" s="7"/>
      <c r="H989" s="7"/>
      <c r="I989" s="10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7" customHeight="1">
      <c r="A990" s="7"/>
      <c r="B990" s="7"/>
      <c r="C990" s="7"/>
      <c r="D990" s="7"/>
      <c r="E990" s="7"/>
      <c r="F990" s="7"/>
      <c r="G990" s="7"/>
      <c r="H990" s="7"/>
      <c r="I990" s="10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7" customHeight="1">
      <c r="A991" s="7"/>
      <c r="B991" s="7"/>
      <c r="C991" s="7"/>
      <c r="D991" s="7"/>
      <c r="E991" s="7"/>
      <c r="F991" s="7"/>
      <c r="G991" s="7"/>
      <c r="H991" s="7"/>
      <c r="I991" s="10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7" customHeight="1">
      <c r="A992" s="7"/>
      <c r="B992" s="7"/>
      <c r="C992" s="7"/>
      <c r="D992" s="7"/>
      <c r="E992" s="7"/>
      <c r="F992" s="7"/>
      <c r="G992" s="7"/>
      <c r="H992" s="7"/>
      <c r="I992" s="10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7" customHeight="1">
      <c r="A993" s="7"/>
      <c r="B993" s="7"/>
      <c r="C993" s="7"/>
      <c r="D993" s="7"/>
      <c r="E993" s="7"/>
      <c r="F993" s="7"/>
      <c r="G993" s="7"/>
      <c r="H993" s="7"/>
      <c r="I993" s="10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7" customHeight="1">
      <c r="A994" s="7"/>
      <c r="B994" s="7"/>
      <c r="C994" s="7"/>
      <c r="D994" s="7"/>
      <c r="E994" s="7"/>
      <c r="F994" s="7"/>
      <c r="G994" s="7"/>
      <c r="H994" s="7"/>
      <c r="I994" s="10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</sheetData>
  <dataValidations count="1">
    <dataValidation type="list" allowBlank="1" showInputMessage="1" showErrorMessage="1" sqref="E6" xr:uid="{B18A3972-B24A-AA45-A8D5-E77712117FD3}">
      <formula1>locatie</formula1>
    </dataValidation>
  </dataValidations>
  <pageMargins left="0.59055118110236227" right="0.59055118110236227" top="0.59055118110236227" bottom="0.78740157480314965" header="0" footer="0"/>
  <pageSetup paperSize="9" scale="47" orientation="portrait"/>
  <headerFoot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C1F76-A75F-8149-B4B4-E5EAAF446094}">
  <dimension ref="A1:O45"/>
  <sheetViews>
    <sheetView showZeros="0" workbookViewId="0">
      <selection activeCell="H38" sqref="H38"/>
    </sheetView>
  </sheetViews>
  <sheetFormatPr baseColWidth="10" defaultColWidth="11.1640625" defaultRowHeight="14"/>
  <cols>
    <col min="1" max="1" width="54.6640625" style="526" customWidth="1"/>
    <col min="2" max="2" width="28.6640625" style="526" customWidth="1"/>
    <col min="3" max="5" width="16.5" style="526" customWidth="1"/>
    <col min="6" max="8" width="17" style="526" customWidth="1"/>
    <col min="9" max="9" width="18.33203125" style="526" customWidth="1"/>
    <col min="10" max="12" width="17" style="526" customWidth="1"/>
    <col min="13" max="13" width="15.83203125" style="526" customWidth="1"/>
    <col min="14" max="14" width="11.1640625" style="526"/>
    <col min="15" max="15" width="17" style="526" customWidth="1"/>
    <col min="16" max="16384" width="11.1640625" style="526"/>
  </cols>
  <sheetData>
    <row r="1" spans="1:15" ht="53" customHeight="1" thickBot="1">
      <c r="A1" s="686" t="s">
        <v>66</v>
      </c>
      <c r="B1" s="687"/>
      <c r="C1" s="688"/>
      <c r="D1" s="688"/>
      <c r="E1" s="689"/>
      <c r="F1" s="619"/>
      <c r="G1" s="690" t="s">
        <v>67</v>
      </c>
      <c r="H1" s="688"/>
      <c r="I1" s="688"/>
      <c r="J1" s="688"/>
      <c r="K1" s="687"/>
      <c r="L1" s="687"/>
      <c r="M1" s="689"/>
    </row>
    <row r="2" spans="1:15" s="529" customFormat="1" ht="53" customHeight="1" thickBot="1">
      <c r="A2" s="527"/>
      <c r="B2" s="528" t="s">
        <v>68</v>
      </c>
      <c r="G2" s="530"/>
      <c r="J2" s="531"/>
      <c r="K2" s="532"/>
      <c r="L2" s="533"/>
      <c r="M2" s="534"/>
    </row>
    <row r="3" spans="1:15" s="529" customFormat="1" ht="53" customHeight="1" thickBot="1">
      <c r="A3" s="527"/>
      <c r="B3" s="620">
        <v>1</v>
      </c>
      <c r="F3" s="535" t="s">
        <v>69</v>
      </c>
      <c r="G3" s="535" t="s">
        <v>69</v>
      </c>
      <c r="H3" s="536">
        <v>0</v>
      </c>
      <c r="I3" s="536">
        <v>0</v>
      </c>
      <c r="J3" s="536">
        <v>0</v>
      </c>
      <c r="K3" s="536">
        <v>0</v>
      </c>
      <c r="L3" s="536">
        <v>0</v>
      </c>
      <c r="M3" s="536">
        <v>0</v>
      </c>
    </row>
    <row r="4" spans="1:15" s="539" customFormat="1" ht="71" customHeight="1" thickBot="1">
      <c r="A4" s="537" t="s">
        <v>70</v>
      </c>
      <c r="B4" s="538" t="s">
        <v>71</v>
      </c>
      <c r="C4" s="600" t="s">
        <v>72</v>
      </c>
      <c r="D4" s="600" t="s">
        <v>73</v>
      </c>
      <c r="E4" s="601" t="s">
        <v>74</v>
      </c>
      <c r="F4" s="602" t="s">
        <v>75</v>
      </c>
      <c r="G4" s="602" t="s">
        <v>76</v>
      </c>
      <c r="H4" s="598" t="s">
        <v>77</v>
      </c>
      <c r="I4" s="598" t="s">
        <v>78</v>
      </c>
      <c r="J4" s="598"/>
      <c r="K4" s="598"/>
      <c r="L4" s="598"/>
      <c r="M4" s="599"/>
    </row>
    <row r="5" spans="1:15">
      <c r="A5" s="540"/>
      <c r="B5" s="576"/>
      <c r="C5" s="541"/>
      <c r="D5" s="542"/>
      <c r="E5" s="542"/>
      <c r="F5" s="543"/>
      <c r="G5" s="542"/>
      <c r="H5" s="542"/>
      <c r="I5" s="542"/>
      <c r="J5" s="543"/>
      <c r="K5" s="543"/>
      <c r="L5" s="543"/>
      <c r="M5" s="603"/>
    </row>
    <row r="6" spans="1:15">
      <c r="A6" s="574" t="str">
        <f>'8-Glasbewassing'!A16</f>
        <v>Evenementenhal Vegelinsweg 6d/6c</v>
      </c>
      <c r="B6" s="577">
        <f>(SUMIF('3-Basis ruimtestaat'!C:C,A6,uren_mavr)*$B$3+SUMIF('3-Basis ruimtestaat'!C:C,A6,uren_naloop))*$B$3</f>
        <v>0</v>
      </c>
      <c r="C6" s="579">
        <f>B6*'1-Contractblad dag'!I$23</f>
        <v>0</v>
      </c>
      <c r="D6" s="680">
        <f>(SUMIF('8-Glasbewassing'!A16:A41,A6,'8-Glasbewassing'!AE16:AE43))</f>
        <v>0</v>
      </c>
      <c r="E6" s="544">
        <f>D6+C6/12</f>
        <v>0</v>
      </c>
      <c r="F6" s="545">
        <f>SUMIF('3-Basis ruimtestaat'!C:C,A6,'3-Basis ruimtestaat'!AE:AE)</f>
        <v>0</v>
      </c>
      <c r="G6" s="545">
        <f>SUMIF('3-Basis ruimtestaat'!C:C,A6,'3-Basis ruimtestaat'!AF:AF)</f>
        <v>15</v>
      </c>
      <c r="H6" s="546">
        <f>F6*$H$3*4</f>
        <v>0</v>
      </c>
      <c r="I6" s="546">
        <f>F6*I$3</f>
        <v>0</v>
      </c>
      <c r="J6" s="546">
        <f>G6*J$3</f>
        <v>0</v>
      </c>
      <c r="K6" s="544"/>
      <c r="L6" s="544"/>
      <c r="M6" s="547"/>
      <c r="O6" s="679">
        <v>8830.0740000000005</v>
      </c>
    </row>
    <row r="7" spans="1:15">
      <c r="A7" s="574" t="str">
        <f>'8-Glasbewassing'!A17</f>
        <v>Gemeentehuis Heremastate 1</v>
      </c>
      <c r="B7" s="577">
        <f>(SUMIF('3-Basis ruimtestaat'!C:C,A7,uren_mavr)*$B$3+SUMIF('3-Basis ruimtestaat'!C:C,A7,uren_naloop))*$B$3</f>
        <v>2849.5173909411769</v>
      </c>
      <c r="C7" s="579">
        <f>B7*'1-Contractblad dag'!I$23</f>
        <v>121717.39665758425</v>
      </c>
      <c r="D7" s="680">
        <f>(SUMIF('8-Glasbewassing'!A17:A42,A7,'8-Glasbewassing'!AE17:AE44))</f>
        <v>0</v>
      </c>
      <c r="E7" s="544">
        <f t="shared" ref="E7:E31" si="0">D7+C7/12</f>
        <v>10143.116388132021</v>
      </c>
      <c r="F7" s="545">
        <f>SUMIF('3-Basis ruimtestaat'!C:C,A7,'3-Basis ruimtestaat'!AE:AE)</f>
        <v>82.2</v>
      </c>
      <c r="G7" s="545">
        <f>SUMIF('3-Basis ruimtestaat'!C:C,A7,'3-Basis ruimtestaat'!AF:AF)</f>
        <v>3986.0999999999976</v>
      </c>
      <c r="H7" s="546">
        <f t="shared" ref="H7:H23" si="1">F7*$H$3*4</f>
        <v>0</v>
      </c>
      <c r="I7" s="546">
        <f t="shared" ref="I7:I23" si="2">F7*I$3</f>
        <v>0</v>
      </c>
      <c r="J7" s="546">
        <f t="shared" ref="J7:J23" si="3">G7*J$3</f>
        <v>0</v>
      </c>
      <c r="K7" s="544"/>
      <c r="L7" s="544"/>
      <c r="M7" s="547"/>
      <c r="O7" s="679">
        <v>309.83700000000005</v>
      </c>
    </row>
    <row r="8" spans="1:15">
      <c r="A8" s="574" t="str">
        <f>'8-Glasbewassing'!A18</f>
        <v>Gemeentehuis Heremastate 5</v>
      </c>
      <c r="B8" s="577">
        <f>(SUMIF('3-Basis ruimtestaat'!C:C,A8,uren_mavr)*$B$3+SUMIF('3-Basis ruimtestaat'!C:C,A8,uren_naloop))*$B$3</f>
        <v>97.787909999999997</v>
      </c>
      <c r="C8" s="579">
        <f>B8*'1-Contractblad dag'!I$23</f>
        <v>4177.0195428969937</v>
      </c>
      <c r="D8" s="680">
        <f>(SUMIF('8-Glasbewassing'!A18:A43,A8,'8-Glasbewassing'!AE18:AE45))</f>
        <v>0</v>
      </c>
      <c r="E8" s="544">
        <f t="shared" si="0"/>
        <v>348.08496190808279</v>
      </c>
      <c r="F8" s="545">
        <f>SUMIF('3-Basis ruimtestaat'!C:C,A8,'3-Basis ruimtestaat'!AE:AE)</f>
        <v>0</v>
      </c>
      <c r="G8" s="545">
        <f>SUMIF('3-Basis ruimtestaat'!C:C,A8,'3-Basis ruimtestaat'!AF:AF)</f>
        <v>132.62</v>
      </c>
      <c r="H8" s="546">
        <f t="shared" si="1"/>
        <v>0</v>
      </c>
      <c r="I8" s="546">
        <f t="shared" si="2"/>
        <v>0</v>
      </c>
      <c r="J8" s="546">
        <f t="shared" si="3"/>
        <v>0</v>
      </c>
      <c r="K8" s="544"/>
      <c r="L8" s="544"/>
      <c r="M8" s="547"/>
      <c r="O8" s="679">
        <v>581.64800000000014</v>
      </c>
    </row>
    <row r="9" spans="1:15">
      <c r="A9" s="574" t="str">
        <f>'8-Glasbewassing'!A19</f>
        <v>Gemeentewerf Lemmer</v>
      </c>
      <c r="B9" s="577">
        <f>(SUMIF('3-Basis ruimtestaat'!C:C,A9,uren_mavr)*$B$3+SUMIF('3-Basis ruimtestaat'!C:C,A9,uren_naloop))*$B$3</f>
        <v>343.72572352941182</v>
      </c>
      <c r="C9" s="579">
        <f>B9*'1-Contractblad dag'!I$23</f>
        <v>14682.275800543874</v>
      </c>
      <c r="D9" s="680">
        <f>(SUMIF('8-Glasbewassing'!A19:A44,A9,'8-Glasbewassing'!AE19:AE46))</f>
        <v>0</v>
      </c>
      <c r="E9" s="544">
        <f t="shared" si="0"/>
        <v>1223.5229833786561</v>
      </c>
      <c r="F9" s="545">
        <f>SUMIF('3-Basis ruimtestaat'!C:C,A9,'3-Basis ruimtestaat'!AE:AE)</f>
        <v>0</v>
      </c>
      <c r="G9" s="545">
        <f>SUMIF('3-Basis ruimtestaat'!C:C,A9,'3-Basis ruimtestaat'!AF:AF)</f>
        <v>137.52000000000001</v>
      </c>
      <c r="H9" s="546">
        <f t="shared" si="1"/>
        <v>0</v>
      </c>
      <c r="I9" s="546">
        <f t="shared" si="2"/>
        <v>0</v>
      </c>
      <c r="J9" s="546">
        <f t="shared" si="3"/>
        <v>0</v>
      </c>
      <c r="K9" s="544"/>
      <c r="L9" s="544"/>
      <c r="M9" s="547"/>
      <c r="O9" s="679">
        <v>15.870000000000001</v>
      </c>
    </row>
    <row r="10" spans="1:15">
      <c r="A10" s="574" t="str">
        <f>'8-Glasbewassing'!A20</f>
        <v>Gemeentewerf/milieustraat Balk</v>
      </c>
      <c r="B10" s="577">
        <f>(SUMIF('3-Basis ruimtestaat'!C:C,A10,uren_mavr)*$B$3+SUMIF('3-Basis ruimtestaat'!C:C,A10,uren_naloop))*$B$3</f>
        <v>13.421006000000002</v>
      </c>
      <c r="C10" s="579">
        <f>B10*'1-Contractblad dag'!I$23</f>
        <v>573.27950200937744</v>
      </c>
      <c r="D10" s="680">
        <f>(SUMIF('8-Glasbewassing'!A20:A45,A10,'8-Glasbewassing'!AE20:AE47))</f>
        <v>0</v>
      </c>
      <c r="E10" s="544">
        <f t="shared" si="0"/>
        <v>47.773291834114787</v>
      </c>
      <c r="F10" s="545">
        <f>SUMIF('3-Basis ruimtestaat'!C:C,A10,'3-Basis ruimtestaat'!AE:AE)</f>
        <v>0</v>
      </c>
      <c r="G10" s="545">
        <f>SUMIF('3-Basis ruimtestaat'!C:C,A10,'3-Basis ruimtestaat'!AF:AF)</f>
        <v>0</v>
      </c>
      <c r="H10" s="546">
        <f t="shared" si="1"/>
        <v>0</v>
      </c>
      <c r="I10" s="546">
        <f t="shared" si="2"/>
        <v>0</v>
      </c>
      <c r="J10" s="546">
        <f t="shared" si="3"/>
        <v>0</v>
      </c>
      <c r="K10" s="544"/>
      <c r="L10" s="544"/>
      <c r="M10" s="547"/>
      <c r="O10" s="679">
        <v>472.43349999999998</v>
      </c>
    </row>
    <row r="11" spans="1:15">
      <c r="A11" s="574" t="str">
        <f>'8-Glasbewassing'!A21</f>
        <v>Gymzaal Balk</v>
      </c>
      <c r="B11" s="577">
        <f>(SUMIF('3-Basis ruimtestaat'!C:C,A11,uren_mavr)*$B$3+SUMIF('3-Basis ruimtestaat'!C:C,A11,uren_naloop))*$B$3</f>
        <v>353.81277258823536</v>
      </c>
      <c r="C11" s="579">
        <f>B11*'1-Contractblad dag'!I$23</f>
        <v>15113.145026083786</v>
      </c>
      <c r="D11" s="680">
        <f>(SUMIF('8-Glasbewassing'!A21:A46,A11,'8-Glasbewassing'!AE21:AE48))</f>
        <v>0</v>
      </c>
      <c r="E11" s="544">
        <f t="shared" si="0"/>
        <v>1259.4287521736489</v>
      </c>
      <c r="F11" s="545">
        <f>SUMIF('3-Basis ruimtestaat'!C:C,A11,'3-Basis ruimtestaat'!AE:AE)</f>
        <v>0</v>
      </c>
      <c r="G11" s="545">
        <f>SUMIF('3-Basis ruimtestaat'!C:C,A11,'3-Basis ruimtestaat'!AF:AF)</f>
        <v>0</v>
      </c>
      <c r="H11" s="546">
        <f t="shared" si="1"/>
        <v>0</v>
      </c>
      <c r="I11" s="546">
        <f t="shared" si="2"/>
        <v>0</v>
      </c>
      <c r="J11" s="546">
        <f t="shared" si="3"/>
        <v>0</v>
      </c>
      <c r="K11" s="544"/>
      <c r="L11" s="544"/>
      <c r="M11" s="547"/>
      <c r="O11" s="679">
        <v>716.1</v>
      </c>
    </row>
    <row r="12" spans="1:15">
      <c r="A12" s="574" t="str">
        <f>'8-Glasbewassing'!A22</f>
        <v>Gymzaal Foarmeling Sloten (alleen glasbewassing)</v>
      </c>
      <c r="B12" s="577">
        <f>(SUMIF('3-Basis ruimtestaat'!C:C,A12,uren_mavr)*$B$3+SUMIF('3-Basis ruimtestaat'!C:C,A12,uren_naloop))*$B$3</f>
        <v>0</v>
      </c>
      <c r="C12" s="579">
        <f>B12*'1-Contractblad dag'!I$23</f>
        <v>0</v>
      </c>
      <c r="D12" s="680">
        <f>(SUMIF('8-Glasbewassing'!A22:A47,A12,'8-Glasbewassing'!AE22:AE49))</f>
        <v>0</v>
      </c>
      <c r="E12" s="544">
        <f t="shared" si="0"/>
        <v>0</v>
      </c>
      <c r="F12" s="545">
        <f>SUMIF('3-Basis ruimtestaat'!C:C,A12,'3-Basis ruimtestaat'!AE:AE)</f>
        <v>0</v>
      </c>
      <c r="G12" s="545">
        <f>SUMIF('3-Basis ruimtestaat'!C:C,A12,'3-Basis ruimtestaat'!AF:AF)</f>
        <v>0</v>
      </c>
      <c r="H12" s="546">
        <f t="shared" si="1"/>
        <v>0</v>
      </c>
      <c r="I12" s="546">
        <f t="shared" si="2"/>
        <v>0</v>
      </c>
      <c r="J12" s="546">
        <f t="shared" si="3"/>
        <v>0</v>
      </c>
      <c r="K12" s="544"/>
      <c r="L12" s="544"/>
      <c r="M12" s="547"/>
      <c r="O12" s="679">
        <v>73.111500000000007</v>
      </c>
    </row>
    <row r="13" spans="1:15">
      <c r="A13" s="574" t="str">
        <f>'8-Glasbewassing'!A23</f>
        <v>Gymzaal Kampke</v>
      </c>
      <c r="B13" s="577">
        <f>(SUMIF('3-Basis ruimtestaat'!C:C,A13,uren_mavr)*$B$3+SUMIF('3-Basis ruimtestaat'!C:C,A13,uren_naloop))*$B$3</f>
        <v>72.787082941176465</v>
      </c>
      <c r="C13" s="579">
        <f>B13*'1-Contractblad dag'!I$23</f>
        <v>3109.1069224790517</v>
      </c>
      <c r="D13" s="680">
        <f>(SUMIF('8-Glasbewassing'!A23:A48,A13,'8-Glasbewassing'!AE23:AE50))</f>
        <v>0</v>
      </c>
      <c r="E13" s="544">
        <f t="shared" si="0"/>
        <v>259.09224353992096</v>
      </c>
      <c r="F13" s="545">
        <f>SUMIF('3-Basis ruimtestaat'!C:C,A13,'3-Basis ruimtestaat'!AE:AE)</f>
        <v>34.32</v>
      </c>
      <c r="G13" s="545">
        <f>SUMIF('3-Basis ruimtestaat'!C:C,A13,'3-Basis ruimtestaat'!AF:AF)</f>
        <v>0</v>
      </c>
      <c r="H13" s="546">
        <f t="shared" si="1"/>
        <v>0</v>
      </c>
      <c r="I13" s="546">
        <f t="shared" si="2"/>
        <v>0</v>
      </c>
      <c r="J13" s="546">
        <f t="shared" si="3"/>
        <v>0</v>
      </c>
      <c r="K13" s="544"/>
      <c r="L13" s="544"/>
      <c r="M13" s="547"/>
      <c r="O13" s="679">
        <v>683.92500000000007</v>
      </c>
    </row>
    <row r="14" spans="1:15">
      <c r="A14" s="574" t="str">
        <f>'8-Glasbewassing'!A24</f>
        <v>Gymzaal Sint Nicolaasga (alleen glasbewassing)</v>
      </c>
      <c r="B14" s="577">
        <f>(SUMIF('3-Basis ruimtestaat'!C:C,A14,uren_mavr)*$B$3+SUMIF('3-Basis ruimtestaat'!C:C,A14,uren_naloop))*$B$3</f>
        <v>0</v>
      </c>
      <c r="C14" s="579">
        <f>B14*'1-Contractblad dag'!I$23</f>
        <v>0</v>
      </c>
      <c r="D14" s="680">
        <f>(SUMIF('8-Glasbewassing'!A24:A49,A14,'8-Glasbewassing'!AE24:AE51))</f>
        <v>0</v>
      </c>
      <c r="E14" s="544">
        <f t="shared" si="0"/>
        <v>0</v>
      </c>
      <c r="F14" s="545">
        <f>SUMIF('3-Basis ruimtestaat'!C:C,A14,'3-Basis ruimtestaat'!AE:AE)</f>
        <v>0</v>
      </c>
      <c r="G14" s="545">
        <f>SUMIF('3-Basis ruimtestaat'!C:C,A14,'3-Basis ruimtestaat'!AF:AF)</f>
        <v>0</v>
      </c>
      <c r="H14" s="546">
        <f t="shared" si="1"/>
        <v>0</v>
      </c>
      <c r="I14" s="546">
        <f t="shared" si="2"/>
        <v>0</v>
      </c>
      <c r="J14" s="546">
        <f t="shared" si="3"/>
        <v>0</v>
      </c>
      <c r="K14" s="544"/>
      <c r="L14" s="544"/>
      <c r="M14" s="547"/>
      <c r="O14" s="679">
        <v>683.92500000000007</v>
      </c>
    </row>
    <row r="15" spans="1:15">
      <c r="A15" s="574" t="str">
        <f>'8-Glasbewassing'!A25</f>
        <v xml:space="preserve">Gymzaal Streek </v>
      </c>
      <c r="B15" s="577">
        <f>(SUMIF('3-Basis ruimtestaat'!C:C,A15,uren_mavr)*$B$3+SUMIF('3-Basis ruimtestaat'!C:C,A15,uren_naloop))*$B$3</f>
        <v>266.5573107647059</v>
      </c>
      <c r="C15" s="579">
        <f>B15*'1-Contractblad dag'!I$23</f>
        <v>11386.019972880531</v>
      </c>
      <c r="D15" s="680">
        <f>(SUMIF('8-Glasbewassing'!A25:A50,A15,'8-Glasbewassing'!AE25:AE52))</f>
        <v>0</v>
      </c>
      <c r="E15" s="544">
        <f t="shared" si="0"/>
        <v>948.83499774004429</v>
      </c>
      <c r="F15" s="545">
        <f>SUMIF('3-Basis ruimtestaat'!C:C,A15,'3-Basis ruimtestaat'!AE:AE)</f>
        <v>0</v>
      </c>
      <c r="G15" s="545">
        <f>SUMIF('3-Basis ruimtestaat'!C:C,A15,'3-Basis ruimtestaat'!AF:AF)</f>
        <v>0</v>
      </c>
      <c r="H15" s="546">
        <f t="shared" si="1"/>
        <v>0</v>
      </c>
      <c r="I15" s="546">
        <f t="shared" si="2"/>
        <v>0</v>
      </c>
      <c r="J15" s="546">
        <f t="shared" si="3"/>
        <v>0</v>
      </c>
      <c r="K15" s="544"/>
      <c r="L15" s="544"/>
      <c r="M15" s="547"/>
      <c r="O15" s="679">
        <v>644.25900000000001</v>
      </c>
    </row>
    <row r="16" spans="1:15">
      <c r="A16" s="574" t="str">
        <f>'8-Glasbewassing'!A26</f>
        <v>Gymzaal Woudfenne Joure (alleen glasbewassing)</v>
      </c>
      <c r="B16" s="577">
        <f>(SUMIF('3-Basis ruimtestaat'!C:C,A16,uren_mavr)*$B$3+SUMIF('3-Basis ruimtestaat'!C:C,A16,uren_naloop))*$B$3</f>
        <v>0</v>
      </c>
      <c r="C16" s="579">
        <f>B16*'1-Contractblad dag'!I$23</f>
        <v>0</v>
      </c>
      <c r="D16" s="680">
        <f>(SUMIF('8-Glasbewassing'!A26:A51,A16,'8-Glasbewassing'!AE26:AE53))</f>
        <v>0</v>
      </c>
      <c r="E16" s="544">
        <f t="shared" si="0"/>
        <v>0</v>
      </c>
      <c r="F16" s="545">
        <f>SUMIF('3-Basis ruimtestaat'!C:C,A16,'3-Basis ruimtestaat'!AE:AE)</f>
        <v>0</v>
      </c>
      <c r="G16" s="545">
        <f>SUMIF('3-Basis ruimtestaat'!C:C,A16,'3-Basis ruimtestaat'!AF:AF)</f>
        <v>0</v>
      </c>
      <c r="H16" s="546">
        <f t="shared" si="1"/>
        <v>0</v>
      </c>
      <c r="I16" s="546">
        <f t="shared" si="2"/>
        <v>0</v>
      </c>
      <c r="J16" s="546">
        <f t="shared" si="3"/>
        <v>0</v>
      </c>
      <c r="K16" s="544"/>
      <c r="L16" s="544"/>
      <c r="M16" s="547"/>
      <c r="O16" s="679">
        <v>417.72500000000002</v>
      </c>
    </row>
    <row r="17" spans="1:15">
      <c r="A17" s="574" t="str">
        <f>'8-Glasbewassing'!A27</f>
        <v>Huisvesting Buitendienst</v>
      </c>
      <c r="B17" s="577">
        <f>(SUMIF('3-Basis ruimtestaat'!C:C,A17,uren_mavr)*$B$3+SUMIF('3-Basis ruimtestaat'!C:C,A17,uren_naloop))*$B$3</f>
        <v>348.44798776470583</v>
      </c>
      <c r="C17" s="579">
        <f>B17*'1-Contractblad dag'!I$23</f>
        <v>14883.987750390706</v>
      </c>
      <c r="D17" s="680">
        <f>(SUMIF('8-Glasbewassing'!A27:A52,A17,'8-Glasbewassing'!AE27:AE54))</f>
        <v>0</v>
      </c>
      <c r="E17" s="544">
        <f t="shared" si="0"/>
        <v>1240.3323125325589</v>
      </c>
      <c r="F17" s="545">
        <f>SUMIF('3-Basis ruimtestaat'!C:C,A17,'3-Basis ruimtestaat'!AE:AE)</f>
        <v>241.19</v>
      </c>
      <c r="G17" s="545">
        <f>SUMIF('3-Basis ruimtestaat'!C:C,A17,'3-Basis ruimtestaat'!AF:AF)</f>
        <v>52.4</v>
      </c>
      <c r="H17" s="546">
        <f t="shared" si="1"/>
        <v>0</v>
      </c>
      <c r="I17" s="546">
        <f t="shared" si="2"/>
        <v>0</v>
      </c>
      <c r="J17" s="546">
        <f t="shared" si="3"/>
        <v>0</v>
      </c>
      <c r="K17" s="544"/>
      <c r="L17" s="544"/>
      <c r="M17" s="547"/>
      <c r="O17" s="679">
        <v>879.68650000000002</v>
      </c>
    </row>
    <row r="18" spans="1:15">
      <c r="A18" s="574" t="str">
        <f>'8-Glasbewassing'!A28</f>
        <v>Opvanglocatie Hotel Tjeukemeer</v>
      </c>
      <c r="B18" s="577">
        <f>(SUMIF('3-Basis ruimtestaat'!C:C,A18,uren_mavr)*$B$3+SUMIF('3-Basis ruimtestaat'!C:C,A18,uren_naloop))*$B$3</f>
        <v>233.12369999999999</v>
      </c>
      <c r="C18" s="579">
        <f>B18*'1-Contractblad dag'!I$23</f>
        <v>9957.9002231713093</v>
      </c>
      <c r="D18" s="680">
        <f>(SUMIF('8-Glasbewassing'!A28:A53,A18,'8-Glasbewassing'!AE28:AE55))</f>
        <v>0</v>
      </c>
      <c r="E18" s="544">
        <f t="shared" si="0"/>
        <v>829.82501859760907</v>
      </c>
      <c r="F18" s="545">
        <f>SUMIF('3-Basis ruimtestaat'!C:C,A18,'3-Basis ruimtestaat'!AE:AE)</f>
        <v>0</v>
      </c>
      <c r="G18" s="545">
        <f>SUMIF('3-Basis ruimtestaat'!C:C,A18,'3-Basis ruimtestaat'!AF:AF)</f>
        <v>0</v>
      </c>
      <c r="H18" s="546">
        <f t="shared" si="1"/>
        <v>0</v>
      </c>
      <c r="I18" s="546">
        <f t="shared" si="2"/>
        <v>0</v>
      </c>
      <c r="J18" s="546">
        <f t="shared" si="3"/>
        <v>0</v>
      </c>
      <c r="K18" s="544"/>
      <c r="L18" s="544"/>
      <c r="M18" s="547"/>
      <c r="O18" s="679">
        <v>674.91000000000008</v>
      </c>
    </row>
    <row r="19" spans="1:15">
      <c r="A19" s="574" t="str">
        <f>'8-Glasbewassing'!A29</f>
        <v>Opvanglocatie Huis ter Heide</v>
      </c>
      <c r="B19" s="577">
        <f>(SUMIF('3-Basis ruimtestaat'!C:C,A19,uren_mavr)*$B$3+SUMIF('3-Basis ruimtestaat'!C:C,A19,uren_naloop))*$B$3</f>
        <v>311.7165</v>
      </c>
      <c r="C19" s="579">
        <f>B19*'1-Contractblad dag'!I$23</f>
        <v>13314.998882207941</v>
      </c>
      <c r="D19" s="680">
        <f>(SUMIF('8-Glasbewassing'!A29:A54,A19,'8-Glasbewassing'!AE29:AE56))</f>
        <v>0</v>
      </c>
      <c r="E19" s="544">
        <f t="shared" si="0"/>
        <v>1109.583240183995</v>
      </c>
      <c r="F19" s="545">
        <f>SUMIF('3-Basis ruimtestaat'!C:C,A19,'3-Basis ruimtestaat'!AE:AE)</f>
        <v>0</v>
      </c>
      <c r="G19" s="545">
        <f>SUMIF('3-Basis ruimtestaat'!C:C,A19,'3-Basis ruimtestaat'!AF:AF)</f>
        <v>255.15</v>
      </c>
      <c r="H19" s="546">
        <f t="shared" si="1"/>
        <v>0</v>
      </c>
      <c r="I19" s="546">
        <f t="shared" si="2"/>
        <v>0</v>
      </c>
      <c r="J19" s="546">
        <f t="shared" si="3"/>
        <v>0</v>
      </c>
      <c r="K19" s="544"/>
      <c r="L19" s="544"/>
      <c r="M19" s="547"/>
      <c r="O19" s="679">
        <v>1424.19</v>
      </c>
    </row>
    <row r="20" spans="1:15">
      <c r="A20" s="574" t="str">
        <f>'8-Glasbewassing'!A30</f>
        <v>Opvanglocatie IJsvogel</v>
      </c>
      <c r="B20" s="577">
        <f>(SUMIF('3-Basis ruimtestaat'!C:C,A20,uren_mavr)*$B$3+SUMIF('3-Basis ruimtestaat'!C:C,A20,uren_naloop))*$B$3</f>
        <v>787.61334999999997</v>
      </c>
      <c r="C20" s="579">
        <f>B20*'1-Contractblad dag'!I$23</f>
        <v>33642.976470164562</v>
      </c>
      <c r="D20" s="680">
        <f>(SUMIF('8-Glasbewassing'!A30:A55,A20,'8-Glasbewassing'!AE30:AE57))</f>
        <v>0</v>
      </c>
      <c r="E20" s="544">
        <f t="shared" si="0"/>
        <v>2803.5813725137136</v>
      </c>
      <c r="F20" s="545">
        <f>SUMIF('3-Basis ruimtestaat'!C:C,A20,'3-Basis ruimtestaat'!AE:AE)</f>
        <v>0</v>
      </c>
      <c r="G20" s="545">
        <f>SUMIF('3-Basis ruimtestaat'!C:C,A20,'3-Basis ruimtestaat'!AF:AF)</f>
        <v>61.399999999999991</v>
      </c>
      <c r="H20" s="546">
        <f t="shared" si="1"/>
        <v>0</v>
      </c>
      <c r="I20" s="546">
        <f t="shared" si="2"/>
        <v>0</v>
      </c>
      <c r="J20" s="546">
        <f t="shared" si="3"/>
        <v>0</v>
      </c>
      <c r="K20" s="544"/>
      <c r="L20" s="544"/>
      <c r="M20" s="547"/>
      <c r="O20" s="679">
        <v>264.34100000000001</v>
      </c>
    </row>
    <row r="21" spans="1:15">
      <c r="A21" s="574" t="str">
        <f>'8-Glasbewassing'!A31</f>
        <v>Opvanglocatie Welgelegen</v>
      </c>
      <c r="B21" s="577">
        <f>(SUMIF('3-Basis ruimtestaat'!C:C,A21,uren_mavr)*$B$3+SUMIF('3-Basis ruimtestaat'!C:C,A21,uren_naloop))*$B$3</f>
        <v>343.49525</v>
      </c>
      <c r="C21" s="579">
        <f>B21*'1-Contractblad dag'!I$23</f>
        <v>14672.4311026004</v>
      </c>
      <c r="D21" s="680">
        <f>(SUMIF('8-Glasbewassing'!A31:A56,A21,'8-Glasbewassing'!AE31:AE58))</f>
        <v>0</v>
      </c>
      <c r="E21" s="544">
        <f t="shared" si="0"/>
        <v>1222.7025918833667</v>
      </c>
      <c r="F21" s="545">
        <f>SUMIF('3-Basis ruimtestaat'!C:C,A21,'3-Basis ruimtestaat'!AE:AE)</f>
        <v>0</v>
      </c>
      <c r="G21" s="545">
        <f>SUMIF('3-Basis ruimtestaat'!C:C,A21,'3-Basis ruimtestaat'!AF:AF)</f>
        <v>0</v>
      </c>
      <c r="H21" s="546">
        <f t="shared" si="1"/>
        <v>0</v>
      </c>
      <c r="I21" s="546">
        <f t="shared" si="2"/>
        <v>0</v>
      </c>
      <c r="J21" s="546">
        <f t="shared" si="3"/>
        <v>0</v>
      </c>
      <c r="K21" s="544"/>
      <c r="L21" s="544"/>
      <c r="M21" s="547"/>
      <c r="O21" s="679">
        <v>979</v>
      </c>
    </row>
    <row r="22" spans="1:15">
      <c r="A22" s="574" t="str">
        <f>'8-Glasbewassing'!A32</f>
        <v>Raadhuis Balk</v>
      </c>
      <c r="B22" s="577">
        <f>(SUMIF('3-Basis ruimtestaat'!C:C,A22,uren_mavr)*$B$3+SUMIF('3-Basis ruimtestaat'!C:C,A22,uren_naloop))*$B$3</f>
        <v>30.473337725490197</v>
      </c>
      <c r="C22" s="579">
        <f>B22*'1-Contractblad dag'!I$23</f>
        <v>1301.6714153791893</v>
      </c>
      <c r="D22" s="680">
        <f>(SUMIF('8-Glasbewassing'!A32:A57,A22,'8-Glasbewassing'!AE32:AE59))</f>
        <v>0</v>
      </c>
      <c r="E22" s="544">
        <f t="shared" si="0"/>
        <v>108.47261794826578</v>
      </c>
      <c r="F22" s="545">
        <f>SUMIF('3-Basis ruimtestaat'!C:C,A22,'3-Basis ruimtestaat'!AE:AE)</f>
        <v>3</v>
      </c>
      <c r="G22" s="545">
        <f>SUMIF('3-Basis ruimtestaat'!C:C,A22,'3-Basis ruimtestaat'!AF:AF)</f>
        <v>155.69999999999999</v>
      </c>
      <c r="H22" s="546">
        <f t="shared" si="1"/>
        <v>0</v>
      </c>
      <c r="I22" s="546">
        <f t="shared" si="2"/>
        <v>0</v>
      </c>
      <c r="J22" s="546">
        <f t="shared" si="3"/>
        <v>0</v>
      </c>
      <c r="K22" s="544"/>
      <c r="L22" s="544"/>
      <c r="M22" s="547"/>
      <c r="O22" s="679">
        <v>1697.5500000000002</v>
      </c>
    </row>
    <row r="23" spans="1:15">
      <c r="A23" s="574" t="str">
        <f>'8-Glasbewassing'!A33</f>
        <v>SCC Hege Fonne Lemmer (alleen glasbewassing)</v>
      </c>
      <c r="B23" s="577">
        <f>(SUMIF('3-Basis ruimtestaat'!C:C,A23,uren_mavr)*$B$3+SUMIF('3-Basis ruimtestaat'!C:C,A23,uren_naloop))*$B$3</f>
        <v>0</v>
      </c>
      <c r="C23" s="579">
        <f>B23*'1-Contractblad dag'!I$23</f>
        <v>0</v>
      </c>
      <c r="D23" s="680">
        <f>(SUMIF('8-Glasbewassing'!A33:A58,A23,'8-Glasbewassing'!AE33:AE60))</f>
        <v>0</v>
      </c>
      <c r="E23" s="544">
        <f t="shared" si="0"/>
        <v>0</v>
      </c>
      <c r="F23" s="545">
        <f>SUMIF('3-Basis ruimtestaat'!C:C,A23,'3-Basis ruimtestaat'!AE:AE)</f>
        <v>0</v>
      </c>
      <c r="G23" s="545">
        <f>SUMIF('3-Basis ruimtestaat'!C:C,A23,'3-Basis ruimtestaat'!AF:AF)</f>
        <v>0</v>
      </c>
      <c r="H23" s="546">
        <f t="shared" si="1"/>
        <v>0</v>
      </c>
      <c r="I23" s="546">
        <f t="shared" si="2"/>
        <v>0</v>
      </c>
      <c r="J23" s="546">
        <f t="shared" si="3"/>
        <v>0</v>
      </c>
      <c r="K23" s="544"/>
      <c r="L23" s="544"/>
      <c r="M23" s="547"/>
      <c r="O23" s="679">
        <v>847.75</v>
      </c>
    </row>
    <row r="24" spans="1:15">
      <c r="A24" s="574" t="str">
        <f>'8-Glasbewassing'!A34</f>
        <v xml:space="preserve">Servicepunt Balk  </v>
      </c>
      <c r="B24" s="577">
        <f>(SUMIF('3-Basis ruimtestaat'!C:C,A24,uren_mavr)*$B$3+SUMIF('3-Basis ruimtestaat'!C:C,A24,uren_naloop))*$B$3</f>
        <v>139.09373647058823</v>
      </c>
      <c r="C24" s="579">
        <f>B24*'1-Contractblad dag'!I$23</f>
        <v>5941.4017083728586</v>
      </c>
      <c r="D24" s="680">
        <f>(SUMIF('8-Glasbewassing'!A34:A59,A24,'8-Glasbewassing'!AE34:AE61))</f>
        <v>0</v>
      </c>
      <c r="E24" s="544">
        <f t="shared" si="0"/>
        <v>495.11680903107157</v>
      </c>
      <c r="F24" s="545">
        <f>SUMIF('3-Basis ruimtestaat'!C:C,A24,'3-Basis ruimtestaat'!AE:AE)</f>
        <v>0</v>
      </c>
      <c r="G24" s="545">
        <f>SUMIF('3-Basis ruimtestaat'!C:C,A24,'3-Basis ruimtestaat'!AF:AF)</f>
        <v>138</v>
      </c>
      <c r="H24" s="546">
        <f>F24*$H$3*4</f>
        <v>0</v>
      </c>
      <c r="I24" s="546">
        <f>F24*I$3</f>
        <v>0</v>
      </c>
      <c r="J24" s="546">
        <f>G24*J$3</f>
        <v>0</v>
      </c>
      <c r="K24" s="544"/>
      <c r="L24" s="544"/>
      <c r="M24" s="547"/>
      <c r="O24" s="679">
        <v>1094.5</v>
      </c>
    </row>
    <row r="25" spans="1:15">
      <c r="A25" s="574" t="str">
        <f>'8-Glasbewassing'!A35</f>
        <v xml:space="preserve">Servicepunt Lemmer  </v>
      </c>
      <c r="B25" s="577">
        <f>(SUMIF('3-Basis ruimtestaat'!C:C,A25,uren_mavr)*$B$3+SUMIF('3-Basis ruimtestaat'!C:C,A25,uren_naloop))*$B$3</f>
        <v>114.84837176470589</v>
      </c>
      <c r="C25" s="579">
        <f>B25*'1-Contractblad dag'!I$23</f>
        <v>4905.7587316374365</v>
      </c>
      <c r="D25" s="680">
        <f>(SUMIF('8-Glasbewassing'!A35:A60,A25,'8-Glasbewassing'!AE35:AE62))</f>
        <v>0</v>
      </c>
      <c r="E25" s="544">
        <f t="shared" si="0"/>
        <v>408.81322763645306</v>
      </c>
      <c r="F25" s="545">
        <f>SUMIF('3-Basis ruimtestaat'!C:C,A25,'3-Basis ruimtestaat'!AE:AE)</f>
        <v>12.2</v>
      </c>
      <c r="G25" s="545">
        <f>SUMIF('3-Basis ruimtestaat'!C:C,A25,'3-Basis ruimtestaat'!AF:AF)</f>
        <v>182.70000000000002</v>
      </c>
      <c r="H25" s="546">
        <f t="shared" ref="H25:H31" si="4">F25*$H$3*4</f>
        <v>0</v>
      </c>
      <c r="I25" s="546">
        <f t="shared" ref="I25:I31" si="5">F25*I$3</f>
        <v>0</v>
      </c>
      <c r="J25" s="546">
        <f t="shared" ref="J25:J31" si="6">G25*J$3</f>
        <v>0</v>
      </c>
      <c r="K25" s="544"/>
      <c r="L25" s="544"/>
      <c r="M25" s="547"/>
      <c r="O25" s="679">
        <v>948.31000000000017</v>
      </c>
    </row>
    <row r="26" spans="1:15">
      <c r="A26" s="574" t="str">
        <f>'8-Glasbewassing'!A36</f>
        <v>Sporthal De Stuit Joure (alleen glasbewassing)</v>
      </c>
      <c r="B26" s="577">
        <f>(SUMIF('3-Basis ruimtestaat'!C:C,A26,uren_mavr)*$B$3+SUMIF('3-Basis ruimtestaat'!C:C,A26,uren_naloop))*$B$3</f>
        <v>0</v>
      </c>
      <c r="C26" s="579">
        <f>B26*'1-Contractblad dag'!I$23</f>
        <v>0</v>
      </c>
      <c r="D26" s="680">
        <f>(SUMIF('8-Glasbewassing'!A36:A61,A26,'8-Glasbewassing'!AE36:AE63))</f>
        <v>0</v>
      </c>
      <c r="E26" s="544">
        <f t="shared" si="0"/>
        <v>0</v>
      </c>
      <c r="F26" s="545">
        <f>SUMIF('3-Basis ruimtestaat'!C:C,A26,'3-Basis ruimtestaat'!AE:AE)</f>
        <v>0</v>
      </c>
      <c r="G26" s="545">
        <f>SUMIF('3-Basis ruimtestaat'!C:C,A26,'3-Basis ruimtestaat'!AF:AF)</f>
        <v>0</v>
      </c>
      <c r="H26" s="546">
        <f t="shared" si="4"/>
        <v>0</v>
      </c>
      <c r="I26" s="546">
        <f t="shared" si="5"/>
        <v>0</v>
      </c>
      <c r="J26" s="546">
        <f t="shared" si="6"/>
        <v>0</v>
      </c>
      <c r="K26" s="544"/>
      <c r="L26" s="544"/>
      <c r="M26" s="547"/>
      <c r="O26" s="679">
        <v>400.57050000000004</v>
      </c>
    </row>
    <row r="27" spans="1:15">
      <c r="A27" s="574" t="str">
        <f>'8-Glasbewassing'!A37</f>
        <v>Sporthal De Trime Balk (alleen glasbewassing)</v>
      </c>
      <c r="B27" s="577">
        <f>(SUMIF('3-Basis ruimtestaat'!C:C,A27,uren_mavr)*$B$3+SUMIF('3-Basis ruimtestaat'!C:C,A27,uren_naloop))*$B$3</f>
        <v>0</v>
      </c>
      <c r="C27" s="579">
        <f>B27*'1-Contractblad dag'!I$23</f>
        <v>0</v>
      </c>
      <c r="D27" s="680">
        <f>(SUMIF('8-Glasbewassing'!A37:A62,A27,'8-Glasbewassing'!AE37:AE64))</f>
        <v>0</v>
      </c>
      <c r="E27" s="544">
        <f t="shared" si="0"/>
        <v>0</v>
      </c>
      <c r="F27" s="545">
        <f>SUMIF('3-Basis ruimtestaat'!C:C,A27,'3-Basis ruimtestaat'!AE:AE)</f>
        <v>0</v>
      </c>
      <c r="G27" s="545">
        <f>SUMIF('3-Basis ruimtestaat'!C:C,A27,'3-Basis ruimtestaat'!AF:AF)</f>
        <v>0</v>
      </c>
      <c r="H27" s="546">
        <f t="shared" si="4"/>
        <v>0</v>
      </c>
      <c r="I27" s="546">
        <f t="shared" si="5"/>
        <v>0</v>
      </c>
      <c r="J27" s="546">
        <f t="shared" si="6"/>
        <v>0</v>
      </c>
      <c r="K27" s="544"/>
      <c r="L27" s="544"/>
      <c r="M27" s="547"/>
      <c r="O27" s="679">
        <v>721.6</v>
      </c>
    </row>
    <row r="28" spans="1:15">
      <c r="A28" s="574" t="str">
        <f>'8-Glasbewassing'!A38</f>
        <v>Sporthal De Twilling Echten (alleen glasbewassing)</v>
      </c>
      <c r="B28" s="577">
        <f>(SUMIF('3-Basis ruimtestaat'!C:C,A28,uren_mavr)*$B$3+SUMIF('3-Basis ruimtestaat'!C:C,A28,uren_naloop))*$B$3</f>
        <v>0</v>
      </c>
      <c r="C28" s="579">
        <f>B28*'1-Contractblad dag'!I$23</f>
        <v>0</v>
      </c>
      <c r="D28" s="680">
        <f>(SUMIF('8-Glasbewassing'!A38:A63,A28,'8-Glasbewassing'!AE38:AE65))</f>
        <v>0</v>
      </c>
      <c r="E28" s="544">
        <f t="shared" si="0"/>
        <v>0</v>
      </c>
      <c r="F28" s="545">
        <f>SUMIF('3-Basis ruimtestaat'!C:C,A28,'3-Basis ruimtestaat'!AE:AE)</f>
        <v>0</v>
      </c>
      <c r="G28" s="545">
        <f>SUMIF('3-Basis ruimtestaat'!C:C,A28,'3-Basis ruimtestaat'!AF:AF)</f>
        <v>0</v>
      </c>
      <c r="H28" s="546">
        <f t="shared" si="4"/>
        <v>0</v>
      </c>
      <c r="I28" s="546">
        <f t="shared" si="5"/>
        <v>0</v>
      </c>
      <c r="J28" s="546">
        <f t="shared" si="6"/>
        <v>0</v>
      </c>
      <c r="K28" s="544"/>
      <c r="L28" s="544"/>
      <c r="M28" s="547"/>
      <c r="O28" s="679">
        <v>926.28650000000005</v>
      </c>
    </row>
    <row r="29" spans="1:15">
      <c r="A29" s="574" t="str">
        <f>'8-Glasbewassing'!A39</f>
        <v>Sporthal Doniahal Sint Nicolaasga (alleen glasbewassing)</v>
      </c>
      <c r="B29" s="577">
        <f>(SUMIF('3-Basis ruimtestaat'!C:C,A29,uren_mavr)*$B$3+SUMIF('3-Basis ruimtestaat'!C:C,A29,uren_naloop))*$B$3</f>
        <v>0</v>
      </c>
      <c r="C29" s="579">
        <f>B29*'1-Contractblad dag'!I$23</f>
        <v>0</v>
      </c>
      <c r="D29" s="680">
        <f>(SUMIF('8-Glasbewassing'!A39:A64,A29,'8-Glasbewassing'!AE39:AE66))</f>
        <v>0</v>
      </c>
      <c r="E29" s="544">
        <f t="shared" si="0"/>
        <v>0</v>
      </c>
      <c r="F29" s="545">
        <f>SUMIF('3-Basis ruimtestaat'!C:C,A29,'3-Basis ruimtestaat'!AE:AE)</f>
        <v>0</v>
      </c>
      <c r="G29" s="545">
        <f>SUMIF('3-Basis ruimtestaat'!C:C,A29,'3-Basis ruimtestaat'!AF:AF)</f>
        <v>0</v>
      </c>
      <c r="H29" s="546">
        <f t="shared" si="4"/>
        <v>0</v>
      </c>
      <c r="I29" s="546">
        <f t="shared" si="5"/>
        <v>0</v>
      </c>
      <c r="J29" s="546">
        <f t="shared" si="6"/>
        <v>0</v>
      </c>
      <c r="K29" s="544"/>
      <c r="L29" s="544"/>
      <c r="M29" s="547"/>
      <c r="O29" s="679">
        <v>287.95799999999997</v>
      </c>
    </row>
    <row r="30" spans="1:15">
      <c r="A30" s="574" t="str">
        <f>'8-Glasbewassing'!A40</f>
        <v>Sporthal It Tsjillân Langweer (alleen glasbewassing)</v>
      </c>
      <c r="B30" s="577">
        <f>(SUMIF('3-Basis ruimtestaat'!C:C,A30,uren_mavr)*$B$3+SUMIF('3-Basis ruimtestaat'!C:C,A30,uren_naloop))*$B$3</f>
        <v>0</v>
      </c>
      <c r="C30" s="579">
        <f>B30*'1-Contractblad dag'!I$23</f>
        <v>0</v>
      </c>
      <c r="D30" s="680">
        <f>(SUMIF('8-Glasbewassing'!A40:A65,A30,'8-Glasbewassing'!AE40:AE67))</f>
        <v>0</v>
      </c>
      <c r="E30" s="544">
        <f t="shared" si="0"/>
        <v>0</v>
      </c>
      <c r="F30" s="545">
        <f>SUMIF('3-Basis ruimtestaat'!C:C,A30,'3-Basis ruimtestaat'!AE:AE)</f>
        <v>0</v>
      </c>
      <c r="G30" s="545">
        <f>SUMIF('3-Basis ruimtestaat'!C:C,A30,'3-Basis ruimtestaat'!AF:AF)</f>
        <v>0</v>
      </c>
      <c r="H30" s="546">
        <f t="shared" si="4"/>
        <v>0</v>
      </c>
      <c r="I30" s="546">
        <f t="shared" si="5"/>
        <v>0</v>
      </c>
      <c r="J30" s="546">
        <f t="shared" si="6"/>
        <v>0</v>
      </c>
      <c r="K30" s="544"/>
      <c r="L30" s="544"/>
      <c r="M30" s="547"/>
      <c r="O30" s="679">
        <v>847</v>
      </c>
    </row>
    <row r="31" spans="1:15">
      <c r="A31" s="574" t="str">
        <f>'8-Glasbewassing'!A41</f>
        <v>Voormalig Gemeentehuis Lemmer</v>
      </c>
      <c r="B31" s="577">
        <f>(SUMIF('3-Basis ruimtestaat'!C:C,A31,uren_mavr)*$B$3+SUMIF('3-Basis ruimtestaat'!C:C,A31,uren_naloop))*$B$3</f>
        <v>163.11174023529412</v>
      </c>
      <c r="C31" s="579">
        <f>B31*'1-Contractblad dag'!I$23</f>
        <v>6967.3329416567085</v>
      </c>
      <c r="D31" s="680">
        <f>(SUMIF('8-Glasbewassing'!A41:A66,A31,'8-Glasbewassing'!AE41:AE68))</f>
        <v>0</v>
      </c>
      <c r="E31" s="544">
        <f t="shared" si="0"/>
        <v>580.61107847139237</v>
      </c>
      <c r="F31" s="545">
        <f>SUMIF('3-Basis ruimtestaat'!C:C,A31,'3-Basis ruimtestaat'!AE:AE)</f>
        <v>0</v>
      </c>
      <c r="G31" s="545">
        <f>SUMIF('3-Basis ruimtestaat'!C:C,A31,'3-Basis ruimtestaat'!AF:AF)</f>
        <v>179.50000000000003</v>
      </c>
      <c r="H31" s="546">
        <f t="shared" si="4"/>
        <v>0</v>
      </c>
      <c r="I31" s="546">
        <f t="shared" si="5"/>
        <v>0</v>
      </c>
      <c r="J31" s="546">
        <f t="shared" si="6"/>
        <v>0</v>
      </c>
      <c r="K31" s="544"/>
      <c r="L31" s="544"/>
      <c r="M31" s="547"/>
      <c r="O31" s="217"/>
    </row>
    <row r="32" spans="1:15" ht="15" thickBot="1">
      <c r="A32" s="575">
        <v>0</v>
      </c>
      <c r="B32" s="578"/>
      <c r="C32" s="580"/>
      <c r="D32" s="571"/>
      <c r="E32" s="571"/>
      <c r="F32" s="572"/>
      <c r="G32" s="572"/>
      <c r="H32" s="573"/>
      <c r="I32" s="573"/>
      <c r="J32" s="604"/>
      <c r="K32" s="605"/>
      <c r="L32" s="605"/>
      <c r="M32" s="606"/>
    </row>
    <row r="33" spans="1:12" ht="15" thickBot="1"/>
    <row r="34" spans="1:12" ht="15" thickBot="1">
      <c r="A34" s="548" t="s">
        <v>79</v>
      </c>
      <c r="B34" s="549">
        <f>SUM(B6:B33)</f>
        <v>6469.5331707254909</v>
      </c>
      <c r="C34" s="681">
        <f>SUM(C6:C33)</f>
        <v>276346.70265005896</v>
      </c>
      <c r="D34" s="681">
        <f>SUM(D6:D33)</f>
        <v>0</v>
      </c>
      <c r="E34" s="550">
        <f t="shared" ref="E34:J34" si="7">SUM(E6:E33)</f>
        <v>23028.891887504913</v>
      </c>
      <c r="F34" s="549">
        <f t="shared" si="7"/>
        <v>372.91</v>
      </c>
      <c r="G34" s="549">
        <f t="shared" si="7"/>
        <v>5296.0899999999965</v>
      </c>
      <c r="H34" s="551">
        <f t="shared" si="7"/>
        <v>0</v>
      </c>
      <c r="I34" s="552">
        <f t="shared" si="7"/>
        <v>0</v>
      </c>
      <c r="J34" s="552">
        <f t="shared" si="7"/>
        <v>0</v>
      </c>
      <c r="K34" s="553"/>
      <c r="L34" s="554"/>
    </row>
    <row r="35" spans="1:12" ht="15" thickBot="1">
      <c r="H35" s="552" t="s">
        <v>80</v>
      </c>
      <c r="I35" s="552">
        <f>H34+I34+J34</f>
        <v>0</v>
      </c>
      <c r="J35" s="607"/>
    </row>
    <row r="36" spans="1:12" ht="15" thickBot="1">
      <c r="A36" s="597" t="s">
        <v>81</v>
      </c>
      <c r="B36" s="555">
        <f>B34+K34</f>
        <v>6469.5331707254909</v>
      </c>
      <c r="J36" s="556"/>
      <c r="L36" s="557"/>
    </row>
    <row r="37" spans="1:12">
      <c r="L37" s="550"/>
    </row>
    <row r="38" spans="1:12" ht="15" thickBot="1">
      <c r="L38" s="550"/>
    </row>
    <row r="39" spans="1:12">
      <c r="A39" s="595"/>
      <c r="B39" s="596"/>
      <c r="C39" s="558"/>
      <c r="D39" s="559"/>
      <c r="E39" s="560"/>
      <c r="L39" s="550"/>
    </row>
    <row r="40" spans="1:12">
      <c r="A40" s="561">
        <f>C34</f>
        <v>276346.70265005896</v>
      </c>
      <c r="B40" s="592" t="s">
        <v>82</v>
      </c>
      <c r="C40" s="540"/>
      <c r="E40" s="562"/>
      <c r="J40" s="563"/>
      <c r="L40" s="564"/>
    </row>
    <row r="41" spans="1:12">
      <c r="A41" s="565">
        <f>'1-Contractblad dag'!G53</f>
        <v>9680</v>
      </c>
      <c r="B41" s="592" t="s">
        <v>83</v>
      </c>
      <c r="C41" s="540"/>
      <c r="E41" s="562"/>
    </row>
    <row r="42" spans="1:12">
      <c r="A42" s="566">
        <f>'1-Contractblad dag'!G76</f>
        <v>0</v>
      </c>
      <c r="B42" s="593" t="s">
        <v>84</v>
      </c>
      <c r="C42" s="540"/>
      <c r="E42" s="562"/>
      <c r="L42" s="557"/>
    </row>
    <row r="43" spans="1:12">
      <c r="A43" s="566">
        <f>I35</f>
        <v>0</v>
      </c>
      <c r="B43" s="593" t="s">
        <v>85</v>
      </c>
      <c r="C43" s="567" t="s">
        <v>86</v>
      </c>
      <c r="E43" s="562"/>
    </row>
    <row r="44" spans="1:12">
      <c r="A44" s="565">
        <f>'9-Additionele kosten'!F50</f>
        <v>12246.346969274335</v>
      </c>
      <c r="B44" s="592" t="s">
        <v>87</v>
      </c>
      <c r="C44" s="567" t="s">
        <v>88</v>
      </c>
      <c r="E44" s="562"/>
    </row>
    <row r="45" spans="1:12" ht="15" thickBot="1">
      <c r="A45" s="591">
        <f>SUM(A38:A44)</f>
        <v>298273.04961933329</v>
      </c>
      <c r="B45" s="594" t="s">
        <v>5</v>
      </c>
      <c r="C45" s="568"/>
      <c r="D45" s="569"/>
      <c r="E45" s="570"/>
      <c r="L45" s="557"/>
    </row>
  </sheetData>
  <autoFilter ref="A4:M32" xr:uid="{4D5952DF-18BA-474F-B077-CD7F78BC6EF0}"/>
  <sortState xmlns:xlrd2="http://schemas.microsoft.com/office/spreadsheetml/2017/richdata2" ref="A6:A23">
    <sortCondition ref="A6:A23"/>
  </sortState>
  <mergeCells count="2">
    <mergeCell ref="A1:E1"/>
    <mergeCell ref="G1:M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Z1047"/>
  <sheetViews>
    <sheetView showGridLines="0" workbookViewId="0">
      <selection activeCell="A10" sqref="A10:A481"/>
    </sheetView>
  </sheetViews>
  <sheetFormatPr baseColWidth="10" defaultColWidth="14.1640625" defaultRowHeight="17" customHeight="1"/>
  <cols>
    <col min="1" max="1" width="28.1640625" customWidth="1"/>
    <col min="2" max="2" width="13" customWidth="1"/>
    <col min="3" max="3" width="31.1640625" customWidth="1"/>
    <col min="4" max="4" width="36.83203125" customWidth="1"/>
    <col min="5" max="5" width="12.1640625" customWidth="1"/>
    <col min="6" max="6" width="15.1640625" customWidth="1"/>
    <col min="7" max="7" width="14.1640625" customWidth="1"/>
    <col min="8" max="8" width="12.83203125" customWidth="1"/>
    <col min="9" max="11" width="14.1640625" customWidth="1"/>
    <col min="12" max="12" width="12" customWidth="1"/>
    <col min="13" max="13" width="8.1640625" customWidth="1"/>
    <col min="14" max="14" width="1.83203125" customWidth="1"/>
    <col min="15" max="15" width="12" customWidth="1"/>
    <col min="16" max="26" width="10.83203125" customWidth="1"/>
  </cols>
  <sheetData>
    <row r="1" spans="1:26" ht="17" customHeight="1">
      <c r="A1" s="1"/>
      <c r="B1" s="1"/>
      <c r="C1" s="2"/>
      <c r="D1" s="2"/>
      <c r="E1" s="3"/>
      <c r="F1" s="3"/>
      <c r="G1" s="3"/>
      <c r="H1" s="3"/>
      <c r="I1" s="4"/>
      <c r="J1" s="4"/>
      <c r="K1" s="5"/>
      <c r="L1" s="8"/>
      <c r="M1" s="9"/>
      <c r="N1" s="7"/>
      <c r="O1" s="9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9" customHeight="1">
      <c r="A2" s="12" t="str">
        <f>'1-Contractblad dag'!A3</f>
        <v>Naam opdrachtgever</v>
      </c>
      <c r="B2" s="14" t="str">
        <f>'1-Contractblad dag'!B3</f>
        <v>Gemeente Fryske Marren</v>
      </c>
      <c r="C2" s="16"/>
      <c r="D2" s="16"/>
      <c r="E2" s="17"/>
      <c r="F2" s="17"/>
      <c r="G2" s="17"/>
      <c r="H2" s="17"/>
      <c r="I2" s="21"/>
      <c r="J2" s="21"/>
      <c r="K2" s="22"/>
      <c r="L2" s="16"/>
      <c r="M2" s="16"/>
      <c r="N2" s="16"/>
      <c r="O2" s="24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9" customHeight="1">
      <c r="A3" s="12" t="str">
        <f>'1-Contractblad dag'!A4</f>
        <v>Calculatie onderdeel</v>
      </c>
      <c r="B3" s="14" t="s">
        <v>89</v>
      </c>
      <c r="C3" s="14"/>
      <c r="D3" s="14"/>
      <c r="E3" s="17"/>
      <c r="F3" s="17"/>
      <c r="G3" s="17"/>
      <c r="H3" s="17"/>
      <c r="I3" s="21"/>
      <c r="J3" s="21"/>
      <c r="K3" s="22"/>
      <c r="L3" s="16"/>
      <c r="M3" s="16"/>
      <c r="N3" s="16"/>
      <c r="O3" s="24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9" customHeight="1">
      <c r="A4" s="12" t="str">
        <f>'1-Contractblad dag'!A5</f>
        <v>Gebouw/plaats</v>
      </c>
      <c r="B4" s="14" t="str">
        <f>'1-Contractblad dag'!B5</f>
        <v>Totaal</v>
      </c>
      <c r="C4" s="14"/>
      <c r="D4" s="14"/>
      <c r="E4" s="17"/>
      <c r="F4" s="17"/>
      <c r="G4" s="17"/>
      <c r="H4" s="507"/>
      <c r="I4" s="508" t="s">
        <v>90</v>
      </c>
      <c r="J4" s="509">
        <f>'3-Basis ruimtestaat'!AA554</f>
        <v>352.59774543271891</v>
      </c>
      <c r="K4" s="22"/>
      <c r="L4" s="16"/>
      <c r="M4" s="16"/>
      <c r="N4" s="16"/>
      <c r="O4" s="24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9" customHeight="1">
      <c r="A5" s="12" t="str">
        <f>'1-Contractblad dag'!A6</f>
        <v>Besteknummer</v>
      </c>
      <c r="B5" s="14" t="str">
        <f>'1-Contractblad dag'!B6</f>
        <v>Calculatie-GFM -2026.01 (prijspeil 1-1-2027)</v>
      </c>
      <c r="C5" s="14"/>
      <c r="D5" s="14"/>
      <c r="E5" s="17"/>
      <c r="F5" s="17"/>
      <c r="G5" s="17"/>
      <c r="H5" s="17"/>
      <c r="I5" s="21"/>
      <c r="J5" s="21"/>
      <c r="K5" s="22"/>
      <c r="L5" s="16"/>
      <c r="M5" s="16"/>
      <c r="N5" s="16"/>
      <c r="O5" s="24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9" customHeight="1">
      <c r="A6" s="12" t="str">
        <f>'1-Contractblad dag'!A7</f>
        <v>Naam leverancier</v>
      </c>
      <c r="B6" s="14" t="str">
        <f>'1-Contractblad dag'!B7</f>
        <v>Vaste calculatie</v>
      </c>
      <c r="C6" s="14"/>
      <c r="D6" s="14"/>
      <c r="E6" s="17"/>
      <c r="F6" s="17"/>
      <c r="G6" s="17"/>
      <c r="H6" s="17"/>
      <c r="I6" s="21"/>
      <c r="J6" s="21"/>
      <c r="K6" s="22"/>
      <c r="L6" s="16"/>
      <c r="M6" s="16"/>
      <c r="N6" s="16"/>
      <c r="O6" s="24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7" customHeight="1">
      <c r="A7" s="9"/>
      <c r="B7" s="30"/>
      <c r="C7" s="32"/>
      <c r="D7" s="32"/>
      <c r="E7" s="3"/>
      <c r="F7" s="3"/>
      <c r="G7" s="3"/>
      <c r="H7" s="3"/>
      <c r="I7" s="4"/>
      <c r="J7" s="4"/>
      <c r="K7" s="5"/>
      <c r="L7" s="8"/>
      <c r="M7" s="9"/>
      <c r="N7" s="7"/>
      <c r="O7" s="9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56" customHeight="1">
      <c r="A8" s="35" t="s">
        <v>91</v>
      </c>
      <c r="B8" s="40" t="s">
        <v>92</v>
      </c>
      <c r="C8" s="42" t="s">
        <v>93</v>
      </c>
      <c r="D8" s="42" t="s">
        <v>94</v>
      </c>
      <c r="E8" s="44" t="s">
        <v>95</v>
      </c>
      <c r="F8" s="44" t="s">
        <v>96</v>
      </c>
      <c r="G8" s="44" t="s">
        <v>97</v>
      </c>
      <c r="H8" s="44" t="s">
        <v>98</v>
      </c>
      <c r="I8" s="45" t="s">
        <v>99</v>
      </c>
      <c r="J8" s="45" t="s">
        <v>100</v>
      </c>
      <c r="K8" s="46" t="s">
        <v>101</v>
      </c>
      <c r="L8" s="48" t="s">
        <v>102</v>
      </c>
      <c r="M8" s="48" t="s">
        <v>103</v>
      </c>
      <c r="N8" s="7"/>
      <c r="O8" s="48" t="s">
        <v>104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7" customHeight="1">
      <c r="A9" s="49"/>
      <c r="B9" s="510"/>
      <c r="C9" s="51"/>
      <c r="D9" s="51"/>
      <c r="E9" s="52"/>
      <c r="F9" s="52"/>
      <c r="G9" s="52"/>
      <c r="H9" s="52"/>
      <c r="I9" s="55"/>
      <c r="J9" s="55"/>
      <c r="K9" s="511"/>
      <c r="L9" s="56"/>
      <c r="M9" s="57"/>
      <c r="N9" s="58"/>
      <c r="O9" s="608">
        <v>1</v>
      </c>
      <c r="P9" s="58" t="s">
        <v>105</v>
      </c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26" ht="17" hidden="1" customHeight="1">
      <c r="A10" s="512">
        <v>1010</v>
      </c>
      <c r="B10" s="62">
        <v>10</v>
      </c>
      <c r="C10" s="206" t="s">
        <v>106</v>
      </c>
      <c r="D10" s="63" t="s">
        <v>107</v>
      </c>
      <c r="E10" s="64">
        <f>E26/255*B10*1.5</f>
        <v>3.1764705882352945E-2</v>
      </c>
      <c r="F10" s="64"/>
      <c r="G10" s="64"/>
      <c r="H10" s="64"/>
      <c r="I10" s="55">
        <f t="shared" ref="I10:I317" si="0">IF(E10=0,0,B10/(E10+F10+G10+H10))</f>
        <v>314.81481481481478</v>
      </c>
      <c r="J10" s="55">
        <f>SUMIF('3-Basis ruimtestaat'!J:J,A10,'3-Basis ruimtestaat'!I:I)</f>
        <v>0</v>
      </c>
      <c r="K10" s="66" t="str">
        <f t="shared" ref="K10:K73" si="1">IF(J10=0,"",J10/$J$482)</f>
        <v/>
      </c>
      <c r="L10" s="68"/>
      <c r="M10" s="57" t="s">
        <v>108</v>
      </c>
      <c r="N10" s="69"/>
      <c r="O10" s="71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17" hidden="1" customHeight="1">
      <c r="A11" s="512">
        <v>1012</v>
      </c>
      <c r="B11" s="72">
        <v>12</v>
      </c>
      <c r="C11" s="206" t="s">
        <v>106</v>
      </c>
      <c r="D11" s="63" t="s">
        <v>109</v>
      </c>
      <c r="E11" s="64">
        <f>E26/255*B11*1.5</f>
        <v>3.8117647058823534E-2</v>
      </c>
      <c r="F11" s="64"/>
      <c r="G11" s="64"/>
      <c r="H11" s="64"/>
      <c r="I11" s="55">
        <f t="shared" si="0"/>
        <v>314.81481481481478</v>
      </c>
      <c r="J11" s="55">
        <f>SUMIF('3-Basis ruimtestaat'!J:J,A11,'3-Basis ruimtestaat'!I:I)</f>
        <v>0</v>
      </c>
      <c r="K11" s="66" t="str">
        <f t="shared" si="1"/>
        <v/>
      </c>
      <c r="L11" s="68"/>
      <c r="M11" s="57" t="s">
        <v>108</v>
      </c>
      <c r="N11" s="69"/>
      <c r="O11" s="71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17" hidden="1" customHeight="1">
      <c r="A12" s="512">
        <v>1026</v>
      </c>
      <c r="B12" s="72">
        <v>26</v>
      </c>
      <c r="C12" s="206" t="s">
        <v>106</v>
      </c>
      <c r="D12" s="63" t="s">
        <v>110</v>
      </c>
      <c r="E12" s="64">
        <f>E26/255*B12*1.3</f>
        <v>7.1576470588235311E-2</v>
      </c>
      <c r="F12" s="64"/>
      <c r="G12" s="64"/>
      <c r="H12" s="64"/>
      <c r="I12" s="55">
        <f t="shared" si="0"/>
        <v>363.24786324786317</v>
      </c>
      <c r="J12" s="55">
        <f>SUMIF('3-Basis ruimtestaat'!J:J,A12,'3-Basis ruimtestaat'!I:I)</f>
        <v>0</v>
      </c>
      <c r="K12" s="66" t="str">
        <f t="shared" si="1"/>
        <v/>
      </c>
      <c r="L12" s="68"/>
      <c r="M12" s="57" t="s">
        <v>108</v>
      </c>
      <c r="N12" s="69"/>
      <c r="O12" s="71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17" customHeight="1">
      <c r="A13" s="512">
        <v>1052</v>
      </c>
      <c r="B13" s="72">
        <v>52</v>
      </c>
      <c r="C13" s="206" t="s">
        <v>106</v>
      </c>
      <c r="D13" s="63" t="s">
        <v>111</v>
      </c>
      <c r="E13" s="64">
        <f>E26/255*B13*1.4</f>
        <v>0.15416470588235295</v>
      </c>
      <c r="F13" s="64"/>
      <c r="G13" s="64"/>
      <c r="H13" s="64"/>
      <c r="I13" s="55">
        <f t="shared" si="0"/>
        <v>337.30158730158729</v>
      </c>
      <c r="J13" s="55">
        <f>SUMIF('3-Basis ruimtestaat'!J:J,A13,'3-Basis ruimtestaat'!I:I)</f>
        <v>18.600000000000001</v>
      </c>
      <c r="K13" s="66">
        <f t="shared" si="1"/>
        <v>1.3927249142163822E-3</v>
      </c>
      <c r="L13" s="68"/>
      <c r="M13" s="57" t="s">
        <v>108</v>
      </c>
      <c r="N13" s="69"/>
      <c r="O13" s="71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17" hidden="1" customHeight="1">
      <c r="A14" s="512">
        <v>1080</v>
      </c>
      <c r="B14" s="72">
        <v>80</v>
      </c>
      <c r="C14" s="206" t="s">
        <v>106</v>
      </c>
      <c r="D14" s="63" t="s">
        <v>112</v>
      </c>
      <c r="E14" s="64">
        <f>E26/255*B14*1.2</f>
        <v>0.20329411764705885</v>
      </c>
      <c r="F14" s="64"/>
      <c r="G14" s="64"/>
      <c r="H14" s="64"/>
      <c r="I14" s="55">
        <f t="shared" si="0"/>
        <v>393.51851851851848</v>
      </c>
      <c r="J14" s="55">
        <f>SUMIF('3-Basis ruimtestaat'!J:J,A14,'3-Basis ruimtestaat'!I:I)</f>
        <v>0</v>
      </c>
      <c r="K14" s="66" t="str">
        <f t="shared" si="1"/>
        <v/>
      </c>
      <c r="L14" s="68"/>
      <c r="M14" s="57" t="s">
        <v>108</v>
      </c>
      <c r="N14" s="69"/>
      <c r="O14" s="71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17" customHeight="1">
      <c r="A15" s="512">
        <v>1104</v>
      </c>
      <c r="B15" s="72">
        <v>104</v>
      </c>
      <c r="C15" s="206" t="s">
        <v>106</v>
      </c>
      <c r="D15" s="63" t="s">
        <v>113</v>
      </c>
      <c r="E15" s="64">
        <f>E26/255*B15*1.2</f>
        <v>0.26428235294117647</v>
      </c>
      <c r="F15" s="64"/>
      <c r="G15" s="64"/>
      <c r="H15" s="64"/>
      <c r="I15" s="55">
        <f t="shared" si="0"/>
        <v>393.51851851851853</v>
      </c>
      <c r="J15" s="55">
        <f>SUMIF('3-Basis ruimtestaat'!J:J,A15,'3-Basis ruimtestaat'!I:I)</f>
        <v>3094.5299999999993</v>
      </c>
      <c r="K15" s="66">
        <f t="shared" si="1"/>
        <v>0.23171123810699032</v>
      </c>
      <c r="L15" s="68"/>
      <c r="M15" s="57" t="s">
        <v>108</v>
      </c>
      <c r="N15" s="69"/>
      <c r="O15" s="84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17" hidden="1" customHeight="1">
      <c r="A16" s="512">
        <v>1120</v>
      </c>
      <c r="B16" s="72">
        <v>120</v>
      </c>
      <c r="C16" s="206" t="s">
        <v>106</v>
      </c>
      <c r="D16" s="63" t="s">
        <v>114</v>
      </c>
      <c r="E16" s="64">
        <f>E26/255*B16*1.2</f>
        <v>0.30494117647058827</v>
      </c>
      <c r="F16" s="64"/>
      <c r="G16" s="64"/>
      <c r="H16" s="64"/>
      <c r="I16" s="55">
        <f t="shared" si="0"/>
        <v>393.51851851851848</v>
      </c>
      <c r="J16" s="55">
        <f>SUMIF('3-Basis ruimtestaat'!J:J,A16,'3-Basis ruimtestaat'!I:I)</f>
        <v>0</v>
      </c>
      <c r="K16" s="66" t="str">
        <f t="shared" si="1"/>
        <v/>
      </c>
      <c r="L16" s="68"/>
      <c r="M16" s="57" t="s">
        <v>108</v>
      </c>
      <c r="N16" s="69"/>
      <c r="O16" s="71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17" hidden="1" customHeight="1">
      <c r="A17" s="512">
        <v>1130</v>
      </c>
      <c r="B17" s="72">
        <v>130</v>
      </c>
      <c r="C17" s="206" t="s">
        <v>106</v>
      </c>
      <c r="D17" s="63" t="s">
        <v>115</v>
      </c>
      <c r="E17" s="64">
        <f>E26/255*B17*1.1</f>
        <v>0.30282352941176477</v>
      </c>
      <c r="F17" s="64"/>
      <c r="G17" s="64"/>
      <c r="H17" s="64"/>
      <c r="I17" s="55">
        <f t="shared" ref="I17" si="2">IF(E17=0,0,B17/(E17+F17+G17+H17))</f>
        <v>429.29292929292922</v>
      </c>
      <c r="J17" s="55">
        <f>SUMIF('3-Basis ruimtestaat'!J:J,A17,'3-Basis ruimtestaat'!I:I)</f>
        <v>0</v>
      </c>
      <c r="K17" s="66" t="str">
        <f t="shared" si="1"/>
        <v/>
      </c>
      <c r="L17" s="68"/>
      <c r="M17" s="57" t="s">
        <v>108</v>
      </c>
      <c r="N17" s="69"/>
      <c r="O17" s="71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ht="17" hidden="1" customHeight="1">
      <c r="A18" s="512">
        <v>1135</v>
      </c>
      <c r="B18" s="72">
        <v>135</v>
      </c>
      <c r="C18" s="206" t="s">
        <v>106</v>
      </c>
      <c r="D18" s="63" t="s">
        <v>116</v>
      </c>
      <c r="E18" s="64">
        <f>E26/255*B18*1.1</f>
        <v>0.31447058823529417</v>
      </c>
      <c r="F18" s="64"/>
      <c r="G18" s="64"/>
      <c r="H18" s="64"/>
      <c r="I18" s="55">
        <f t="shared" si="0"/>
        <v>429.29292929292922</v>
      </c>
      <c r="J18" s="55">
        <f>SUMIF('3-Basis ruimtestaat'!J:J,A18,'3-Basis ruimtestaat'!I:I)</f>
        <v>0</v>
      </c>
      <c r="K18" s="66" t="str">
        <f t="shared" si="1"/>
        <v/>
      </c>
      <c r="L18" s="68"/>
      <c r="M18" s="57" t="s">
        <v>108</v>
      </c>
      <c r="N18" s="69"/>
      <c r="O18" s="71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ht="17" hidden="1" customHeight="1">
      <c r="A19" s="512">
        <v>1156</v>
      </c>
      <c r="B19" s="72">
        <v>156</v>
      </c>
      <c r="C19" s="206" t="s">
        <v>106</v>
      </c>
      <c r="D19" s="63" t="s">
        <v>117</v>
      </c>
      <c r="E19" s="64">
        <f>E26/255*B19*1.1</f>
        <v>0.36338823529411773</v>
      </c>
      <c r="F19" s="64"/>
      <c r="G19" s="64"/>
      <c r="H19" s="64"/>
      <c r="I19" s="55">
        <f t="shared" si="0"/>
        <v>429.29292929292922</v>
      </c>
      <c r="J19" s="55">
        <f>SUMIF('3-Basis ruimtestaat'!J:J,A19,'3-Basis ruimtestaat'!I:I)</f>
        <v>0</v>
      </c>
      <c r="K19" s="66" t="str">
        <f t="shared" si="1"/>
        <v/>
      </c>
      <c r="L19" s="68"/>
      <c r="M19" s="57" t="s">
        <v>108</v>
      </c>
      <c r="N19" s="69"/>
      <c r="O19" s="71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7" hidden="1" customHeight="1">
      <c r="A20" s="512">
        <v>1160</v>
      </c>
      <c r="B20" s="72">
        <v>160</v>
      </c>
      <c r="C20" s="206" t="s">
        <v>106</v>
      </c>
      <c r="D20" s="63" t="s">
        <v>118</v>
      </c>
      <c r="E20" s="64">
        <f>E26/255*B20</f>
        <v>0.33882352941176475</v>
      </c>
      <c r="F20" s="64"/>
      <c r="G20" s="64"/>
      <c r="H20" s="64"/>
      <c r="I20" s="55">
        <f t="shared" si="0"/>
        <v>472.22222222222217</v>
      </c>
      <c r="J20" s="55">
        <f>SUMIF('3-Basis ruimtestaat'!J:J,A20,'3-Basis ruimtestaat'!I:I)</f>
        <v>0</v>
      </c>
      <c r="K20" s="66" t="str">
        <f t="shared" si="1"/>
        <v/>
      </c>
      <c r="L20" s="68"/>
      <c r="M20" s="57" t="s">
        <v>108</v>
      </c>
      <c r="N20" s="69"/>
      <c r="O20" s="71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17" hidden="1" customHeight="1">
      <c r="A21" s="512">
        <v>1200</v>
      </c>
      <c r="B21" s="72">
        <v>200</v>
      </c>
      <c r="C21" s="206" t="s">
        <v>106</v>
      </c>
      <c r="D21" s="63" t="s">
        <v>119</v>
      </c>
      <c r="E21" s="64">
        <f>E26/255*B21</f>
        <v>0.42352941176470593</v>
      </c>
      <c r="F21" s="64"/>
      <c r="G21" s="64"/>
      <c r="H21" s="64"/>
      <c r="I21" s="55">
        <f t="shared" ref="I21" si="3">IF(E21=0,0,B21/(E21+F21+G21+H21))</f>
        <v>472.22222222222217</v>
      </c>
      <c r="J21" s="55">
        <f>SUMIF('3-Basis ruimtestaat'!J:J,A21,'3-Basis ruimtestaat'!I:I)</f>
        <v>0</v>
      </c>
      <c r="K21" s="66" t="str">
        <f t="shared" si="1"/>
        <v/>
      </c>
      <c r="L21" s="68"/>
      <c r="M21" s="57" t="s">
        <v>108</v>
      </c>
      <c r="N21" s="69"/>
      <c r="O21" s="71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 ht="17" hidden="1" customHeight="1">
      <c r="A22" s="512">
        <v>1205</v>
      </c>
      <c r="B22" s="72">
        <v>205</v>
      </c>
      <c r="C22" s="206" t="s">
        <v>106</v>
      </c>
      <c r="D22" s="380" t="s">
        <v>120</v>
      </c>
      <c r="E22" s="64">
        <f>E26/255*B22*1.05</f>
        <v>0.45582352941176479</v>
      </c>
      <c r="F22" s="64"/>
      <c r="G22" s="64"/>
      <c r="H22" s="64"/>
      <c r="I22" s="55">
        <f t="shared" si="0"/>
        <v>449.73544973544966</v>
      </c>
      <c r="J22" s="55">
        <f>SUMIF('3-Basis ruimtestaat'!J:J,A22,'3-Basis ruimtestaat'!I:I)</f>
        <v>0</v>
      </c>
      <c r="K22" s="66" t="str">
        <f t="shared" si="1"/>
        <v/>
      </c>
      <c r="L22" s="68"/>
      <c r="M22" s="57" t="s">
        <v>108</v>
      </c>
      <c r="N22" s="69"/>
      <c r="O22" s="71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17" hidden="1" customHeight="1">
      <c r="A23" s="512">
        <v>1210</v>
      </c>
      <c r="B23" s="72">
        <v>210</v>
      </c>
      <c r="C23" s="206" t="s">
        <v>106</v>
      </c>
      <c r="D23" s="63" t="s">
        <v>121</v>
      </c>
      <c r="E23" s="64">
        <f>E26/255*B23</f>
        <v>0.44470588235294123</v>
      </c>
      <c r="F23" s="64"/>
      <c r="G23" s="64"/>
      <c r="H23" s="64"/>
      <c r="I23" s="55">
        <f>IF(E23=0,0,B23/(E23+F23+G23+H23))</f>
        <v>472.22222222222217</v>
      </c>
      <c r="J23" s="55">
        <f>SUMIF('3-Basis ruimtestaat'!J:J,A23,'3-Basis ruimtestaat'!I:I)</f>
        <v>0</v>
      </c>
      <c r="K23" s="66" t="str">
        <f t="shared" si="1"/>
        <v/>
      </c>
      <c r="L23" s="68"/>
      <c r="M23" s="57" t="s">
        <v>108</v>
      </c>
      <c r="N23" s="69"/>
      <c r="O23" s="71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ht="17" hidden="1" customHeight="1">
      <c r="A24" s="512">
        <v>1230</v>
      </c>
      <c r="B24" s="72">
        <v>230</v>
      </c>
      <c r="C24" s="206" t="s">
        <v>106</v>
      </c>
      <c r="D24" s="63" t="s">
        <v>122</v>
      </c>
      <c r="E24" s="64">
        <f>E26/255*B24</f>
        <v>0.48705882352941182</v>
      </c>
      <c r="F24" s="64"/>
      <c r="G24" s="64"/>
      <c r="H24" s="64"/>
      <c r="I24" s="55">
        <f>IF(E24=0,0,B24/(E24+F24+G24+H24))</f>
        <v>472.22222222222217</v>
      </c>
      <c r="J24" s="55">
        <f>SUMIF('3-Basis ruimtestaat'!J:J,A24,'3-Basis ruimtestaat'!I:I)</f>
        <v>0</v>
      </c>
      <c r="K24" s="66" t="str">
        <f t="shared" si="1"/>
        <v/>
      </c>
      <c r="L24" s="68"/>
      <c r="M24" s="57" t="s">
        <v>108</v>
      </c>
      <c r="N24" s="69"/>
      <c r="O24" s="71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spans="1:26" ht="17" hidden="1" customHeight="1">
      <c r="A25" s="512">
        <v>1245</v>
      </c>
      <c r="B25" s="72">
        <v>245</v>
      </c>
      <c r="C25" s="206" t="s">
        <v>106</v>
      </c>
      <c r="D25" s="63" t="s">
        <v>123</v>
      </c>
      <c r="E25" s="64">
        <f>E26/255*B25</f>
        <v>0.51882352941176479</v>
      </c>
      <c r="F25" s="64"/>
      <c r="G25" s="64"/>
      <c r="H25" s="64"/>
      <c r="I25" s="55">
        <f t="shared" ref="I25" si="4">IF(E25=0,0,B25/(E25+F25+G25+H25))</f>
        <v>472.22222222222211</v>
      </c>
      <c r="J25" s="55">
        <f>SUMIF('3-Basis ruimtestaat'!J:J,A25,'3-Basis ruimtestaat'!I:I)</f>
        <v>0</v>
      </c>
      <c r="K25" s="66" t="str">
        <f t="shared" si="1"/>
        <v/>
      </c>
      <c r="L25" s="68"/>
      <c r="M25" s="57" t="s">
        <v>108</v>
      </c>
      <c r="N25" s="69"/>
      <c r="O25" s="84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7" customHeight="1">
      <c r="A26" s="512">
        <v>1255</v>
      </c>
      <c r="B26" s="72">
        <v>255</v>
      </c>
      <c r="C26" s="206" t="s">
        <v>106</v>
      </c>
      <c r="D26" s="63" t="s">
        <v>124</v>
      </c>
      <c r="E26" s="64">
        <f>O26*$O$9</f>
        <v>0.54</v>
      </c>
      <c r="F26" s="64"/>
      <c r="G26" s="64"/>
      <c r="H26" s="64"/>
      <c r="I26" s="55">
        <f t="shared" si="0"/>
        <v>472.22222222222217</v>
      </c>
      <c r="J26" s="55">
        <f>SUMIF('3-Basis ruimtestaat'!J:J,A26,'3-Basis ruimtestaat'!I:I)</f>
        <v>381.67</v>
      </c>
      <c r="K26" s="66">
        <f t="shared" si="1"/>
        <v>2.8578565484353041E-2</v>
      </c>
      <c r="L26" s="68"/>
      <c r="M26" s="57" t="s">
        <v>108</v>
      </c>
      <c r="N26" s="69"/>
      <c r="O26" s="92">
        <v>0.54</v>
      </c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7" customHeight="1">
      <c r="A27" s="512">
        <v>1510</v>
      </c>
      <c r="B27" s="93">
        <v>510</v>
      </c>
      <c r="C27" s="206" t="s">
        <v>106</v>
      </c>
      <c r="D27" s="380" t="s">
        <v>125</v>
      </c>
      <c r="E27" s="64">
        <f>E26</f>
        <v>0.54</v>
      </c>
      <c r="F27" s="64">
        <f>E27*0.5</f>
        <v>0.27</v>
      </c>
      <c r="G27" s="64"/>
      <c r="H27" s="64"/>
      <c r="I27" s="55">
        <f t="shared" si="0"/>
        <v>629.62962962962956</v>
      </c>
      <c r="J27" s="55">
        <f>SUMIF('3-Basis ruimtestaat'!J:J,A27,'3-Basis ruimtestaat'!I:I)</f>
        <v>9</v>
      </c>
      <c r="K27" s="66">
        <f t="shared" si="1"/>
        <v>6.7389915204018485E-4</v>
      </c>
      <c r="L27" s="68"/>
      <c r="M27" s="57" t="s">
        <v>108</v>
      </c>
      <c r="N27" s="69"/>
      <c r="O27" s="71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7" hidden="1" customHeight="1">
      <c r="A28" s="512">
        <v>2010</v>
      </c>
      <c r="B28" s="62">
        <v>10</v>
      </c>
      <c r="C28" s="206" t="s">
        <v>126</v>
      </c>
      <c r="D28" s="63" t="s">
        <v>107</v>
      </c>
      <c r="E28" s="64">
        <f>E43/255*B28*1.5</f>
        <v>0.1887058823529412</v>
      </c>
      <c r="F28" s="64"/>
      <c r="G28" s="64"/>
      <c r="H28" s="64"/>
      <c r="I28" s="55">
        <f t="shared" ref="I28:I50" si="5">IF(E28=0,0,B28/(E28+F28+G28+H28))</f>
        <v>52.992518703241892</v>
      </c>
      <c r="J28" s="55">
        <f>SUMIF('3-Basis ruimtestaat'!J:J,A28,'3-Basis ruimtestaat'!I:I)</f>
        <v>0</v>
      </c>
      <c r="K28" s="66" t="str">
        <f t="shared" si="1"/>
        <v/>
      </c>
      <c r="L28" s="68"/>
      <c r="M28" s="57" t="s">
        <v>127</v>
      </c>
      <c r="N28" s="69"/>
      <c r="O28" s="84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ht="17" hidden="1" customHeight="1">
      <c r="A29" s="512">
        <v>2012</v>
      </c>
      <c r="B29" s="72">
        <v>12</v>
      </c>
      <c r="C29" s="206" t="s">
        <v>126</v>
      </c>
      <c r="D29" s="63" t="s">
        <v>109</v>
      </c>
      <c r="E29" s="64">
        <f>E43/255*B29*1.5</f>
        <v>0.22644705882352942</v>
      </c>
      <c r="F29" s="64"/>
      <c r="G29" s="64"/>
      <c r="H29" s="64"/>
      <c r="I29" s="55">
        <f t="shared" si="5"/>
        <v>52.992518703241892</v>
      </c>
      <c r="J29" s="55">
        <f>SUMIF('3-Basis ruimtestaat'!J:J,A29,'3-Basis ruimtestaat'!I:I)</f>
        <v>0</v>
      </c>
      <c r="K29" s="66" t="str">
        <f t="shared" si="1"/>
        <v/>
      </c>
      <c r="L29" s="68"/>
      <c r="M29" s="57" t="s">
        <v>127</v>
      </c>
      <c r="N29" s="69"/>
      <c r="O29" s="71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spans="1:26" ht="17" hidden="1" customHeight="1">
      <c r="A30" s="512">
        <v>2026</v>
      </c>
      <c r="B30" s="72">
        <v>26</v>
      </c>
      <c r="C30" s="206" t="s">
        <v>126</v>
      </c>
      <c r="D30" s="63" t="s">
        <v>110</v>
      </c>
      <c r="E30" s="64">
        <f>E43/255*B30*1.3</f>
        <v>0.42521725490196077</v>
      </c>
      <c r="F30" s="64"/>
      <c r="G30" s="64"/>
      <c r="H30" s="64"/>
      <c r="I30" s="55">
        <f t="shared" si="5"/>
        <v>61.145213888356032</v>
      </c>
      <c r="J30" s="55">
        <f>SUMIF('3-Basis ruimtestaat'!J:J,A30,'3-Basis ruimtestaat'!I:I)</f>
        <v>0</v>
      </c>
      <c r="K30" s="66" t="str">
        <f t="shared" si="1"/>
        <v/>
      </c>
      <c r="L30" s="68"/>
      <c r="M30" s="57" t="s">
        <v>127</v>
      </c>
      <c r="N30" s="69"/>
      <c r="O30" s="71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spans="1:26" ht="17" customHeight="1">
      <c r="A31" s="512">
        <v>2052</v>
      </c>
      <c r="B31" s="72">
        <v>52</v>
      </c>
      <c r="C31" s="206" t="s">
        <v>126</v>
      </c>
      <c r="D31" s="63" t="s">
        <v>111</v>
      </c>
      <c r="E31" s="64">
        <f>E43/255*B31*1.4</f>
        <v>0.91585254901960778</v>
      </c>
      <c r="F31" s="64"/>
      <c r="G31" s="64"/>
      <c r="H31" s="64"/>
      <c r="I31" s="55">
        <f t="shared" si="5"/>
        <v>56.777698610616319</v>
      </c>
      <c r="J31" s="55">
        <f>SUMIF('3-Basis ruimtestaat'!J:J,A31,'3-Basis ruimtestaat'!I:I)</f>
        <v>3.8</v>
      </c>
      <c r="K31" s="66">
        <f t="shared" si="1"/>
        <v>2.8453519752807803E-4</v>
      </c>
      <c r="L31" s="68"/>
      <c r="M31" s="57" t="s">
        <v>127</v>
      </c>
      <c r="N31" s="69"/>
      <c r="O31" s="71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spans="1:26" ht="17" hidden="1" customHeight="1">
      <c r="A32" s="512">
        <v>2080</v>
      </c>
      <c r="B32" s="72">
        <v>80</v>
      </c>
      <c r="C32" s="206" t="s">
        <v>126</v>
      </c>
      <c r="D32" s="63" t="s">
        <v>112</v>
      </c>
      <c r="E32" s="64">
        <f>E43/255*B32*1.2</f>
        <v>1.2077176470588236</v>
      </c>
      <c r="F32" s="64"/>
      <c r="G32" s="64"/>
      <c r="H32" s="64"/>
      <c r="I32" s="55">
        <f t="shared" si="5"/>
        <v>66.240648379052374</v>
      </c>
      <c r="J32" s="55">
        <f>SUMIF('3-Basis ruimtestaat'!J:J,A32,'3-Basis ruimtestaat'!I:I)</f>
        <v>0</v>
      </c>
      <c r="K32" s="66" t="str">
        <f t="shared" si="1"/>
        <v/>
      </c>
      <c r="L32" s="68"/>
      <c r="M32" s="57" t="s">
        <v>127</v>
      </c>
      <c r="N32" s="69"/>
      <c r="O32" s="71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spans="1:26" ht="17" hidden="1" customHeight="1">
      <c r="A33" s="512">
        <v>2104</v>
      </c>
      <c r="B33" s="72">
        <v>104</v>
      </c>
      <c r="C33" s="206" t="s">
        <v>126</v>
      </c>
      <c r="D33" s="63" t="s">
        <v>113</v>
      </c>
      <c r="E33" s="64">
        <f>E43/255*B33*1.2</f>
        <v>1.5700329411764706</v>
      </c>
      <c r="F33" s="64"/>
      <c r="G33" s="64"/>
      <c r="H33" s="64"/>
      <c r="I33" s="55">
        <f t="shared" si="5"/>
        <v>66.240648379052374</v>
      </c>
      <c r="J33" s="55">
        <f>SUMIF('3-Basis ruimtestaat'!J:J,A33,'3-Basis ruimtestaat'!I:I)</f>
        <v>0</v>
      </c>
      <c r="K33" s="66" t="str">
        <f t="shared" si="1"/>
        <v/>
      </c>
      <c r="L33" s="68"/>
      <c r="M33" s="57" t="s">
        <v>127</v>
      </c>
      <c r="N33" s="69"/>
      <c r="O33" s="71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1:26" ht="17" hidden="1" customHeight="1">
      <c r="A34" s="512">
        <v>2120</v>
      </c>
      <c r="B34" s="72">
        <v>120</v>
      </c>
      <c r="C34" s="206" t="s">
        <v>126</v>
      </c>
      <c r="D34" s="63" t="s">
        <v>114</v>
      </c>
      <c r="E34" s="64">
        <f>E43/255*B34*1.2</f>
        <v>1.8115764705882353</v>
      </c>
      <c r="F34" s="64"/>
      <c r="G34" s="64"/>
      <c r="H34" s="64"/>
      <c r="I34" s="55">
        <f t="shared" si="5"/>
        <v>66.240648379052374</v>
      </c>
      <c r="J34" s="55">
        <f>SUMIF('3-Basis ruimtestaat'!J:J,A34,'3-Basis ruimtestaat'!I:I)</f>
        <v>0</v>
      </c>
      <c r="K34" s="66" t="str">
        <f t="shared" si="1"/>
        <v/>
      </c>
      <c r="L34" s="68"/>
      <c r="M34" s="57" t="s">
        <v>127</v>
      </c>
      <c r="N34" s="69"/>
      <c r="O34" s="84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1:26" ht="17" hidden="1" customHeight="1">
      <c r="A35" s="512">
        <v>2130</v>
      </c>
      <c r="B35" s="72">
        <v>130</v>
      </c>
      <c r="C35" s="206" t="s">
        <v>126</v>
      </c>
      <c r="D35" s="63" t="s">
        <v>115</v>
      </c>
      <c r="E35" s="64">
        <f>E43/255*B35*1.1</f>
        <v>1.798996078431373</v>
      </c>
      <c r="F35" s="64"/>
      <c r="G35" s="64"/>
      <c r="H35" s="64"/>
      <c r="I35" s="55">
        <f t="shared" si="5"/>
        <v>72.262525504420751</v>
      </c>
      <c r="J35" s="55">
        <f>SUMIF('3-Basis ruimtestaat'!J:J,A35,'3-Basis ruimtestaat'!I:I)</f>
        <v>0</v>
      </c>
      <c r="K35" s="66" t="str">
        <f t="shared" si="1"/>
        <v/>
      </c>
      <c r="L35" s="68"/>
      <c r="M35" s="57" t="s">
        <v>127</v>
      </c>
      <c r="N35" s="69"/>
      <c r="O35" s="84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spans="1:26" ht="17" customHeight="1">
      <c r="A36" s="512">
        <v>2156</v>
      </c>
      <c r="B36" s="72">
        <v>156</v>
      </c>
      <c r="C36" s="206" t="s">
        <v>126</v>
      </c>
      <c r="D36" s="63" t="s">
        <v>117</v>
      </c>
      <c r="E36" s="64">
        <f>E43/255*B36*1.1</f>
        <v>2.1587952941176476</v>
      </c>
      <c r="F36" s="64"/>
      <c r="G36" s="64"/>
      <c r="H36" s="64"/>
      <c r="I36" s="55">
        <f t="shared" si="5"/>
        <v>72.262525504420751</v>
      </c>
      <c r="J36" s="55">
        <f>SUMIF('3-Basis ruimtestaat'!J:J,A36,'3-Basis ruimtestaat'!I:I)</f>
        <v>6.3000000000000007</v>
      </c>
      <c r="K36" s="66">
        <f t="shared" si="1"/>
        <v>4.7172940642812948E-4</v>
      </c>
      <c r="L36" s="68"/>
      <c r="M36" s="57" t="s">
        <v>127</v>
      </c>
      <c r="N36" s="69"/>
      <c r="O36" s="71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spans="1:26" ht="17" hidden="1" customHeight="1">
      <c r="A37" s="512">
        <v>2160</v>
      </c>
      <c r="B37" s="72">
        <v>160</v>
      </c>
      <c r="C37" s="206" t="s">
        <v>126</v>
      </c>
      <c r="D37" s="63" t="s">
        <v>118</v>
      </c>
      <c r="E37" s="64">
        <f>E43/255*B37</f>
        <v>2.0128627450980394</v>
      </c>
      <c r="F37" s="64"/>
      <c r="G37" s="64"/>
      <c r="H37" s="64"/>
      <c r="I37" s="55">
        <f t="shared" si="5"/>
        <v>79.488778054862834</v>
      </c>
      <c r="J37" s="55">
        <f>SUMIF('3-Basis ruimtestaat'!J:J,A37,'3-Basis ruimtestaat'!I:I)</f>
        <v>0</v>
      </c>
      <c r="K37" s="66" t="str">
        <f t="shared" si="1"/>
        <v/>
      </c>
      <c r="L37" s="68"/>
      <c r="M37" s="57" t="s">
        <v>127</v>
      </c>
      <c r="N37" s="69"/>
      <c r="O37" s="84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spans="1:26" ht="17" hidden="1" customHeight="1">
      <c r="A38" s="512">
        <v>2200</v>
      </c>
      <c r="B38" s="72">
        <v>200</v>
      </c>
      <c r="C38" s="206" t="s">
        <v>126</v>
      </c>
      <c r="D38" s="63" t="s">
        <v>119</v>
      </c>
      <c r="E38" s="64">
        <f>E43/255*B38</f>
        <v>2.5160784313725491</v>
      </c>
      <c r="F38" s="64"/>
      <c r="G38" s="64"/>
      <c r="H38" s="64"/>
      <c r="I38" s="55">
        <f t="shared" si="5"/>
        <v>79.488778054862848</v>
      </c>
      <c r="J38" s="55">
        <f>SUMIF('3-Basis ruimtestaat'!J:J,A38,'3-Basis ruimtestaat'!I:I)</f>
        <v>0</v>
      </c>
      <c r="K38" s="66" t="str">
        <f t="shared" si="1"/>
        <v/>
      </c>
      <c r="L38" s="68"/>
      <c r="M38" s="57" t="s">
        <v>127</v>
      </c>
      <c r="N38" s="69"/>
      <c r="O38" s="7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spans="1:26" ht="17" customHeight="1">
      <c r="A39" s="512">
        <v>2205</v>
      </c>
      <c r="B39" s="72">
        <v>205</v>
      </c>
      <c r="C39" s="206" t="s">
        <v>126</v>
      </c>
      <c r="D39" s="380" t="s">
        <v>120</v>
      </c>
      <c r="E39" s="64">
        <f>E43/255*B39*1.05</f>
        <v>2.7079294117647064</v>
      </c>
      <c r="F39" s="64"/>
      <c r="G39" s="64"/>
      <c r="H39" s="64"/>
      <c r="I39" s="55">
        <f t="shared" si="5"/>
        <v>75.703598147488407</v>
      </c>
      <c r="J39" s="55">
        <f>SUMIF('3-Basis ruimtestaat'!J:J,A39,'3-Basis ruimtestaat'!I:I)</f>
        <v>37.64</v>
      </c>
      <c r="K39" s="66">
        <f t="shared" si="1"/>
        <v>2.818396009199173E-3</v>
      </c>
      <c r="L39" s="68"/>
      <c r="M39" s="57" t="s">
        <v>127</v>
      </c>
      <c r="N39" s="69"/>
      <c r="O39" s="84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1:26" ht="17" hidden="1" customHeight="1">
      <c r="A40" s="512">
        <v>2210</v>
      </c>
      <c r="B40" s="72">
        <v>210</v>
      </c>
      <c r="C40" s="206" t="s">
        <v>126</v>
      </c>
      <c r="D40" s="63" t="s">
        <v>121</v>
      </c>
      <c r="E40" s="64">
        <f>E43/255*B40</f>
        <v>2.6418823529411766</v>
      </c>
      <c r="F40" s="64"/>
      <c r="G40" s="64"/>
      <c r="H40" s="64"/>
      <c r="I40" s="55">
        <f t="shared" si="5"/>
        <v>79.488778054862834</v>
      </c>
      <c r="J40" s="55">
        <f>SUMIF('3-Basis ruimtestaat'!J:J,A40,'3-Basis ruimtestaat'!I:I)</f>
        <v>0</v>
      </c>
      <c r="K40" s="66" t="str">
        <f t="shared" si="1"/>
        <v/>
      </c>
      <c r="L40" s="68"/>
      <c r="M40" s="57" t="s">
        <v>127</v>
      </c>
      <c r="N40" s="69"/>
      <c r="O40" s="7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spans="1:26" ht="17" hidden="1" customHeight="1">
      <c r="A41" s="512">
        <v>2230</v>
      </c>
      <c r="B41" s="72">
        <v>230</v>
      </c>
      <c r="C41" s="206" t="s">
        <v>126</v>
      </c>
      <c r="D41" s="63" t="s">
        <v>122</v>
      </c>
      <c r="E41" s="64">
        <f>E43/255*B41</f>
        <v>2.8934901960784316</v>
      </c>
      <c r="F41" s="64"/>
      <c r="G41" s="64"/>
      <c r="H41" s="64"/>
      <c r="I41" s="55">
        <f t="shared" si="5"/>
        <v>79.488778054862834</v>
      </c>
      <c r="J41" s="55">
        <f>SUMIF('3-Basis ruimtestaat'!J:J,A41,'3-Basis ruimtestaat'!I:I)</f>
        <v>0</v>
      </c>
      <c r="K41" s="66" t="str">
        <f t="shared" si="1"/>
        <v/>
      </c>
      <c r="L41" s="68"/>
      <c r="M41" s="57" t="s">
        <v>127</v>
      </c>
      <c r="N41" s="69"/>
      <c r="O41" s="7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spans="1:26" ht="17" hidden="1" customHeight="1">
      <c r="A42" s="512">
        <v>2245</v>
      </c>
      <c r="B42" s="72">
        <v>245</v>
      </c>
      <c r="C42" s="206" t="s">
        <v>126</v>
      </c>
      <c r="D42" s="63" t="s">
        <v>123</v>
      </c>
      <c r="E42" s="64">
        <f>E43/255*B42</f>
        <v>3.0821960784313727</v>
      </c>
      <c r="F42" s="64"/>
      <c r="G42" s="64"/>
      <c r="H42" s="64"/>
      <c r="I42" s="55">
        <f t="shared" si="5"/>
        <v>79.488778054862834</v>
      </c>
      <c r="J42" s="55">
        <f>SUMIF('3-Basis ruimtestaat'!J:J,A42,'3-Basis ruimtestaat'!I:I)</f>
        <v>0</v>
      </c>
      <c r="K42" s="66" t="str">
        <f t="shared" si="1"/>
        <v/>
      </c>
      <c r="L42" s="68"/>
      <c r="M42" s="57" t="s">
        <v>127</v>
      </c>
      <c r="N42" s="69"/>
      <c r="O42" s="84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1:26" ht="17" customHeight="1">
      <c r="A43" s="512">
        <v>2255</v>
      </c>
      <c r="B43" s="72">
        <v>255</v>
      </c>
      <c r="C43" s="206" t="s">
        <v>126</v>
      </c>
      <c r="D43" s="63" t="s">
        <v>124</v>
      </c>
      <c r="E43" s="64">
        <f>O43*$O$9</f>
        <v>3.2080000000000002</v>
      </c>
      <c r="F43" s="64"/>
      <c r="G43" s="64"/>
      <c r="H43" s="64"/>
      <c r="I43" s="55">
        <f t="shared" si="5"/>
        <v>79.488778054862834</v>
      </c>
      <c r="J43" s="55">
        <f>SUMIF('3-Basis ruimtestaat'!J:J,A43,'3-Basis ruimtestaat'!I:I)</f>
        <v>367.64</v>
      </c>
      <c r="K43" s="66">
        <f t="shared" si="1"/>
        <v>2.7528031584005949E-2</v>
      </c>
      <c r="L43" s="68"/>
      <c r="M43" s="57" t="s">
        <v>127</v>
      </c>
      <c r="N43" s="69"/>
      <c r="O43" s="92">
        <v>3.2080000000000002</v>
      </c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1:26" ht="17" hidden="1" customHeight="1">
      <c r="A44" s="512">
        <v>2315</v>
      </c>
      <c r="B44" s="72">
        <v>315</v>
      </c>
      <c r="C44" s="206" t="s">
        <v>126</v>
      </c>
      <c r="D44" s="63" t="s">
        <v>128</v>
      </c>
      <c r="E44" s="64">
        <f>E43/255*225</f>
        <v>2.8305882352941181</v>
      </c>
      <c r="F44" s="64"/>
      <c r="G44" s="64">
        <f>E44/225*90*0.8</f>
        <v>0.90578823529411778</v>
      </c>
      <c r="H44" s="64"/>
      <c r="I44" s="55">
        <f t="shared" si="5"/>
        <v>84.306279755157547</v>
      </c>
      <c r="J44" s="55">
        <f>SUMIF('3-Basis ruimtestaat'!J:J,A44,'3-Basis ruimtestaat'!I:I)</f>
        <v>0</v>
      </c>
      <c r="K44" s="66" t="str">
        <f t="shared" si="1"/>
        <v/>
      </c>
      <c r="L44" s="68"/>
      <c r="M44" s="57" t="s">
        <v>127</v>
      </c>
      <c r="N44" s="69"/>
      <c r="O44" s="71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spans="1:26" ht="17" hidden="1" customHeight="1">
      <c r="A45" s="512">
        <v>2365</v>
      </c>
      <c r="B45" s="72">
        <v>365</v>
      </c>
      <c r="C45" s="206" t="s">
        <v>126</v>
      </c>
      <c r="D45" s="63" t="s">
        <v>129</v>
      </c>
      <c r="E45" s="64">
        <f>E43</f>
        <v>3.2080000000000002</v>
      </c>
      <c r="F45" s="64"/>
      <c r="G45" s="64">
        <f>E45/255*104*0.8</f>
        <v>1.0466886274509803</v>
      </c>
      <c r="H45" s="64"/>
      <c r="I45" s="55">
        <f t="shared" si="5"/>
        <v>85.787711383870302</v>
      </c>
      <c r="J45" s="55">
        <f>SUMIF('3-Basis ruimtestaat'!J:J,A45,'3-Basis ruimtestaat'!I:I)</f>
        <v>0</v>
      </c>
      <c r="K45" s="66" t="str">
        <f t="shared" si="1"/>
        <v/>
      </c>
      <c r="L45" s="68"/>
      <c r="M45" s="57" t="s">
        <v>127</v>
      </c>
      <c r="N45" s="69"/>
      <c r="O45" s="71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spans="1:26" ht="17" hidden="1" customHeight="1">
      <c r="A46" s="512">
        <v>2450</v>
      </c>
      <c r="B46" s="72">
        <v>450</v>
      </c>
      <c r="C46" s="206" t="s">
        <v>126</v>
      </c>
      <c r="D46" s="63" t="s">
        <v>130</v>
      </c>
      <c r="E46" s="64">
        <f>E41</f>
        <v>2.8934901960784316</v>
      </c>
      <c r="F46" s="64">
        <f>E47*0.5</f>
        <v>1.5410980392156863</v>
      </c>
      <c r="G46" s="64"/>
      <c r="H46" s="64"/>
      <c r="I46" s="55">
        <f t="shared" si="5"/>
        <v>101.47503581471851</v>
      </c>
      <c r="J46" s="55">
        <f>SUMIF('3-Basis ruimtestaat'!J:J,A46,'3-Basis ruimtestaat'!I:I)</f>
        <v>0</v>
      </c>
      <c r="K46" s="66" t="str">
        <f t="shared" si="1"/>
        <v/>
      </c>
      <c r="L46" s="68"/>
      <c r="M46" s="57" t="s">
        <v>127</v>
      </c>
      <c r="N46" s="69"/>
      <c r="O46" s="84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 spans="1:26" ht="17" hidden="1" customHeight="1">
      <c r="A47" s="512">
        <v>2490</v>
      </c>
      <c r="B47" s="72">
        <v>490</v>
      </c>
      <c r="C47" s="206" t="s">
        <v>126</v>
      </c>
      <c r="D47" s="63" t="s">
        <v>131</v>
      </c>
      <c r="E47" s="64">
        <f>E42</f>
        <v>3.0821960784313727</v>
      </c>
      <c r="F47" s="64">
        <f>E48*0.5</f>
        <v>1.6040000000000001</v>
      </c>
      <c r="G47" s="64"/>
      <c r="H47" s="64"/>
      <c r="I47" s="55">
        <f t="shared" si="5"/>
        <v>104.56241945471891</v>
      </c>
      <c r="J47" s="55">
        <f>SUMIF('3-Basis ruimtestaat'!J:J,A47,'3-Basis ruimtestaat'!I:I)</f>
        <v>0</v>
      </c>
      <c r="K47" s="66" t="str">
        <f t="shared" si="1"/>
        <v/>
      </c>
      <c r="L47" s="68"/>
      <c r="M47" s="57" t="s">
        <v>127</v>
      </c>
      <c r="N47" s="69"/>
      <c r="O47" s="84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spans="1:26" ht="17" customHeight="1">
      <c r="A48" s="512">
        <v>2510</v>
      </c>
      <c r="B48" s="72">
        <v>510</v>
      </c>
      <c r="C48" s="206" t="s">
        <v>126</v>
      </c>
      <c r="D48" s="63" t="s">
        <v>132</v>
      </c>
      <c r="E48" s="64">
        <f>E43</f>
        <v>3.2080000000000002</v>
      </c>
      <c r="F48" s="64">
        <f>E48*0.5</f>
        <v>1.6040000000000001</v>
      </c>
      <c r="G48" s="64"/>
      <c r="H48" s="64"/>
      <c r="I48" s="55">
        <f t="shared" si="5"/>
        <v>105.98503740648378</v>
      </c>
      <c r="J48" s="55">
        <f>SUMIF('3-Basis ruimtestaat'!J:J,A48,'3-Basis ruimtestaat'!I:I)</f>
        <v>98.1</v>
      </c>
      <c r="K48" s="66">
        <f t="shared" si="1"/>
        <v>7.3455007572380149E-3</v>
      </c>
      <c r="L48" s="68"/>
      <c r="M48" s="57" t="s">
        <v>127</v>
      </c>
      <c r="N48" s="69"/>
      <c r="O48" s="71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 spans="1:26" ht="17" hidden="1" customHeight="1">
      <c r="A49" s="512">
        <v>2675</v>
      </c>
      <c r="B49" s="72">
        <v>675</v>
      </c>
      <c r="C49" s="206" t="s">
        <v>126</v>
      </c>
      <c r="D49" s="63" t="s">
        <v>133</v>
      </c>
      <c r="E49" s="64">
        <f>E41</f>
        <v>2.8934901960784316</v>
      </c>
      <c r="F49" s="64">
        <f>E49*0.5*2</f>
        <v>2.8934901960784316</v>
      </c>
      <c r="G49" s="64"/>
      <c r="H49" s="64"/>
      <c r="I49" s="55">
        <f t="shared" si="5"/>
        <v>116.64114171094003</v>
      </c>
      <c r="J49" s="55">
        <f>SUMIF('3-Basis ruimtestaat'!J:J,A49,'3-Basis ruimtestaat'!I:I)</f>
        <v>0</v>
      </c>
      <c r="K49" s="66" t="str">
        <f t="shared" si="1"/>
        <v/>
      </c>
      <c r="L49" s="68"/>
      <c r="M49" s="57" t="s">
        <v>127</v>
      </c>
      <c r="N49" s="69"/>
      <c r="O49" s="71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 spans="1:26" ht="17" hidden="1" customHeight="1" thickBot="1">
      <c r="A50" s="512">
        <v>21020</v>
      </c>
      <c r="B50" s="113">
        <v>1020</v>
      </c>
      <c r="C50" s="206" t="s">
        <v>126</v>
      </c>
      <c r="D50" s="63" t="s">
        <v>134</v>
      </c>
      <c r="E50" s="64">
        <f>E43</f>
        <v>3.2080000000000002</v>
      </c>
      <c r="F50" s="64">
        <f>E50*0.5*3</f>
        <v>4.8120000000000003</v>
      </c>
      <c r="G50" s="64"/>
      <c r="H50" s="64"/>
      <c r="I50" s="55">
        <f t="shared" si="5"/>
        <v>127.18204488778055</v>
      </c>
      <c r="J50" s="55">
        <f>SUMIF('3-Basis ruimtestaat'!J:J,A50,'3-Basis ruimtestaat'!I:I)</f>
        <v>0</v>
      </c>
      <c r="K50" s="66" t="str">
        <f t="shared" si="1"/>
        <v/>
      </c>
      <c r="L50" s="68"/>
      <c r="M50" s="57" t="s">
        <v>127</v>
      </c>
      <c r="N50" s="69"/>
      <c r="O50" s="71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 spans="1:26" ht="17" hidden="1" customHeight="1">
      <c r="A51" s="512">
        <v>3010</v>
      </c>
      <c r="B51" s="114">
        <v>10</v>
      </c>
      <c r="C51" s="115" t="s">
        <v>135</v>
      </c>
      <c r="D51" s="63" t="s">
        <v>107</v>
      </c>
      <c r="E51" s="64">
        <f>E66/255*B51*1.5</f>
        <v>2.1999999999999999E-2</v>
      </c>
      <c r="F51" s="64"/>
      <c r="G51" s="64"/>
      <c r="H51" s="64"/>
      <c r="I51" s="55">
        <f t="shared" si="0"/>
        <v>454.54545454545456</v>
      </c>
      <c r="J51" s="55">
        <f>SUMIF('3-Basis ruimtestaat'!J:J,A51,'3-Basis ruimtestaat'!I:I)</f>
        <v>0</v>
      </c>
      <c r="K51" s="66" t="str">
        <f t="shared" si="1"/>
        <v/>
      </c>
      <c r="L51" s="68"/>
      <c r="M51" s="57" t="s">
        <v>136</v>
      </c>
      <c r="N51" s="69"/>
      <c r="O51" s="84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 spans="1:26" ht="17" hidden="1" customHeight="1">
      <c r="A52" s="512">
        <v>3012</v>
      </c>
      <c r="B52" s="72">
        <v>12</v>
      </c>
      <c r="C52" s="115" t="s">
        <v>135</v>
      </c>
      <c r="D52" s="63" t="s">
        <v>109</v>
      </c>
      <c r="E52" s="64">
        <f>E66/255*B52*1.5</f>
        <v>2.64E-2</v>
      </c>
      <c r="F52" s="64"/>
      <c r="G52" s="64"/>
      <c r="H52" s="64"/>
      <c r="I52" s="55">
        <f t="shared" si="0"/>
        <v>454.54545454545456</v>
      </c>
      <c r="J52" s="55">
        <f>SUMIF('3-Basis ruimtestaat'!J:J,A52,'3-Basis ruimtestaat'!I:I)</f>
        <v>0</v>
      </c>
      <c r="K52" s="66" t="str">
        <f t="shared" si="1"/>
        <v/>
      </c>
      <c r="L52" s="68"/>
      <c r="M52" s="57" t="s">
        <v>136</v>
      </c>
      <c r="N52" s="69"/>
      <c r="O52" s="71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spans="1:26" ht="17" hidden="1" customHeight="1">
      <c r="A53" s="512">
        <v>3040</v>
      </c>
      <c r="B53" s="72">
        <v>40</v>
      </c>
      <c r="C53" s="115" t="s">
        <v>135</v>
      </c>
      <c r="D53" s="63" t="s">
        <v>137</v>
      </c>
      <c r="E53" s="64">
        <f>E66/255*B53*1.3</f>
        <v>7.6266666666666663E-2</v>
      </c>
      <c r="F53" s="64"/>
      <c r="G53" s="64"/>
      <c r="H53" s="64"/>
      <c r="I53" s="55">
        <f t="shared" si="0"/>
        <v>524.47552447552448</v>
      </c>
      <c r="J53" s="55">
        <f>SUMIF('3-Basis ruimtestaat'!J:J,A53,'3-Basis ruimtestaat'!I:I)</f>
        <v>0</v>
      </c>
      <c r="K53" s="66" t="str">
        <f t="shared" si="1"/>
        <v/>
      </c>
      <c r="L53" s="68"/>
      <c r="M53" s="57" t="s">
        <v>136</v>
      </c>
      <c r="N53" s="69"/>
      <c r="O53" s="71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spans="1:26" ht="17" customHeight="1">
      <c r="A54" s="512">
        <v>3052</v>
      </c>
      <c r="B54" s="72">
        <v>52</v>
      </c>
      <c r="C54" s="115" t="s">
        <v>135</v>
      </c>
      <c r="D54" s="63" t="s">
        <v>111</v>
      </c>
      <c r="E54" s="64">
        <f>E66/255*B54*1.4</f>
        <v>0.10677333333333332</v>
      </c>
      <c r="F54" s="64"/>
      <c r="G54" s="64"/>
      <c r="H54" s="64"/>
      <c r="I54" s="55">
        <f t="shared" si="0"/>
        <v>487.01298701298708</v>
      </c>
      <c r="J54" s="55">
        <f>SUMIF('3-Basis ruimtestaat'!J:J,A54,'3-Basis ruimtestaat'!I:I)</f>
        <v>22.9</v>
      </c>
      <c r="K54" s="66">
        <f t="shared" si="1"/>
        <v>1.7146989535244703E-3</v>
      </c>
      <c r="L54" s="68"/>
      <c r="M54" s="57" t="s">
        <v>136</v>
      </c>
      <c r="N54" s="69"/>
      <c r="O54" s="71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1:26" ht="17" hidden="1" customHeight="1">
      <c r="A55" s="512">
        <v>3080</v>
      </c>
      <c r="B55" s="72">
        <v>80</v>
      </c>
      <c r="C55" s="115" t="s">
        <v>135</v>
      </c>
      <c r="D55" s="63" t="s">
        <v>112</v>
      </c>
      <c r="E55" s="64">
        <f>E66/255*B55*1.2</f>
        <v>0.14079999999999998</v>
      </c>
      <c r="F55" s="64"/>
      <c r="G55" s="64"/>
      <c r="H55" s="64"/>
      <c r="I55" s="55">
        <f t="shared" si="0"/>
        <v>568.18181818181824</v>
      </c>
      <c r="J55" s="55">
        <f>SUMIF('3-Basis ruimtestaat'!J:J,A55,'3-Basis ruimtestaat'!I:I)</f>
        <v>0</v>
      </c>
      <c r="K55" s="66" t="str">
        <f t="shared" si="1"/>
        <v/>
      </c>
      <c r="L55" s="68"/>
      <c r="M55" s="57" t="s">
        <v>136</v>
      </c>
      <c r="N55" s="69"/>
      <c r="O55" s="71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6" ht="17" customHeight="1">
      <c r="A56" s="512">
        <v>3104</v>
      </c>
      <c r="B56" s="72">
        <v>104</v>
      </c>
      <c r="C56" s="115" t="s">
        <v>135</v>
      </c>
      <c r="D56" s="63" t="s">
        <v>113</v>
      </c>
      <c r="E56" s="64">
        <f>E66/255*B56*1.2</f>
        <v>0.18303999999999998</v>
      </c>
      <c r="F56" s="64"/>
      <c r="G56" s="64"/>
      <c r="H56" s="64"/>
      <c r="I56" s="55">
        <f t="shared" si="0"/>
        <v>568.18181818181824</v>
      </c>
      <c r="J56" s="55">
        <f>SUMIF('3-Basis ruimtestaat'!J:J,A56,'3-Basis ruimtestaat'!I:I)</f>
        <v>19.2</v>
      </c>
      <c r="K56" s="66">
        <f t="shared" si="1"/>
        <v>1.4376515243523943E-3</v>
      </c>
      <c r="L56" s="68"/>
      <c r="M56" s="57" t="s">
        <v>136</v>
      </c>
      <c r="N56" s="69"/>
      <c r="O56" s="84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1:26" ht="17" hidden="1" customHeight="1">
      <c r="A57" s="512">
        <v>3120</v>
      </c>
      <c r="B57" s="72">
        <v>120</v>
      </c>
      <c r="C57" s="115" t="s">
        <v>135</v>
      </c>
      <c r="D57" s="63" t="s">
        <v>114</v>
      </c>
      <c r="E57" s="64">
        <f>E66/255*B57*1.2</f>
        <v>0.21119999999999997</v>
      </c>
      <c r="F57" s="64"/>
      <c r="G57" s="64"/>
      <c r="H57" s="64"/>
      <c r="I57" s="55">
        <f t="shared" si="0"/>
        <v>568.18181818181824</v>
      </c>
      <c r="J57" s="55">
        <f>SUMIF('3-Basis ruimtestaat'!J:J,A57,'3-Basis ruimtestaat'!I:I)</f>
        <v>0</v>
      </c>
      <c r="K57" s="66" t="str">
        <f t="shared" si="1"/>
        <v/>
      </c>
      <c r="L57" s="68"/>
      <c r="M57" s="57" t="s">
        <v>136</v>
      </c>
      <c r="N57" s="69"/>
      <c r="O57" s="84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17" hidden="1" customHeight="1">
      <c r="A58" s="512">
        <v>3130</v>
      </c>
      <c r="B58" s="72">
        <v>130</v>
      </c>
      <c r="C58" s="115" t="s">
        <v>135</v>
      </c>
      <c r="D58" s="63" t="s">
        <v>115</v>
      </c>
      <c r="E58" s="64">
        <f>E66/255*B58*1.1</f>
        <v>0.20973333333333335</v>
      </c>
      <c r="F58" s="64"/>
      <c r="G58" s="64"/>
      <c r="H58" s="64"/>
      <c r="I58" s="55">
        <f t="shared" si="0"/>
        <v>619.83471074380157</v>
      </c>
      <c r="J58" s="55">
        <f>SUMIF('3-Basis ruimtestaat'!J:J,A58,'3-Basis ruimtestaat'!I:I)</f>
        <v>0</v>
      </c>
      <c r="K58" s="66" t="str">
        <f t="shared" si="1"/>
        <v/>
      </c>
      <c r="L58" s="68"/>
      <c r="M58" s="57" t="s">
        <v>136</v>
      </c>
      <c r="N58" s="69"/>
      <c r="O58" s="84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1:26" ht="17" customHeight="1">
      <c r="A59" s="512">
        <v>3156</v>
      </c>
      <c r="B59" s="72">
        <v>156</v>
      </c>
      <c r="C59" s="115" t="s">
        <v>135</v>
      </c>
      <c r="D59" s="63" t="s">
        <v>117</v>
      </c>
      <c r="E59" s="64">
        <f>E66/255*B59*1.1</f>
        <v>0.25168000000000001</v>
      </c>
      <c r="F59" s="64"/>
      <c r="G59" s="64"/>
      <c r="H59" s="64"/>
      <c r="I59" s="55">
        <f t="shared" si="0"/>
        <v>619.83471074380157</v>
      </c>
      <c r="J59" s="55">
        <f>SUMIF('3-Basis ruimtestaat'!J:J,A59,'3-Basis ruimtestaat'!I:I)</f>
        <v>75.600000000000009</v>
      </c>
      <c r="K59" s="66">
        <f t="shared" si="1"/>
        <v>5.6607528771375534E-3</v>
      </c>
      <c r="L59" s="68"/>
      <c r="M59" s="57" t="s">
        <v>136</v>
      </c>
      <c r="N59" s="69"/>
      <c r="O59" s="71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1:26" ht="17" hidden="1" customHeight="1">
      <c r="A60" s="512">
        <v>3160</v>
      </c>
      <c r="B60" s="72">
        <v>160</v>
      </c>
      <c r="C60" s="115" t="s">
        <v>135</v>
      </c>
      <c r="D60" s="63" t="s">
        <v>118</v>
      </c>
      <c r="E60" s="64">
        <f>E66/255*B60</f>
        <v>0.23466666666666666</v>
      </c>
      <c r="F60" s="64"/>
      <c r="G60" s="64"/>
      <c r="H60" s="64"/>
      <c r="I60" s="55">
        <f t="shared" si="0"/>
        <v>681.81818181818187</v>
      </c>
      <c r="J60" s="55">
        <f>SUMIF('3-Basis ruimtestaat'!J:J,A60,'3-Basis ruimtestaat'!I:I)</f>
        <v>0</v>
      </c>
      <c r="K60" s="66" t="str">
        <f t="shared" si="1"/>
        <v/>
      </c>
      <c r="L60" s="68"/>
      <c r="M60" s="57" t="s">
        <v>136</v>
      </c>
      <c r="N60" s="69"/>
      <c r="O60" s="84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17" hidden="1" customHeight="1">
      <c r="A61" s="512">
        <v>3200</v>
      </c>
      <c r="B61" s="72">
        <v>200</v>
      </c>
      <c r="C61" s="115" t="s">
        <v>135</v>
      </c>
      <c r="D61" s="63" t="s">
        <v>119</v>
      </c>
      <c r="E61" s="64">
        <f>E66/255*B61</f>
        <v>0.29333333333333333</v>
      </c>
      <c r="F61" s="64"/>
      <c r="G61" s="64"/>
      <c r="H61" s="64"/>
      <c r="I61" s="55">
        <f t="shared" si="0"/>
        <v>681.81818181818187</v>
      </c>
      <c r="J61" s="55">
        <f>SUMIF('3-Basis ruimtestaat'!J:J,A61,'3-Basis ruimtestaat'!I:I)</f>
        <v>0</v>
      </c>
      <c r="K61" s="66" t="str">
        <f t="shared" si="1"/>
        <v/>
      </c>
      <c r="L61" s="68"/>
      <c r="M61" s="57" t="s">
        <v>136</v>
      </c>
      <c r="N61" s="69"/>
      <c r="O61" s="84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spans="1:26" ht="17" customHeight="1">
      <c r="A62" s="512">
        <v>3205</v>
      </c>
      <c r="B62" s="72">
        <v>205</v>
      </c>
      <c r="C62" s="115" t="s">
        <v>135</v>
      </c>
      <c r="D62" s="63" t="s">
        <v>120</v>
      </c>
      <c r="E62" s="64">
        <f>E66/255*B62*1.05</f>
        <v>0.31570000000000004</v>
      </c>
      <c r="F62" s="64"/>
      <c r="G62" s="64"/>
      <c r="H62" s="64"/>
      <c r="I62" s="55">
        <f t="shared" si="0"/>
        <v>649.35064935064929</v>
      </c>
      <c r="J62" s="55">
        <f>SUMIF('3-Basis ruimtestaat'!J:J,A62,'3-Basis ruimtestaat'!I:I)</f>
        <v>12.3</v>
      </c>
      <c r="K62" s="66">
        <f t="shared" si="1"/>
        <v>9.2099550778825272E-4</v>
      </c>
      <c r="L62" s="68"/>
      <c r="M62" s="57" t="s">
        <v>136</v>
      </c>
      <c r="N62" s="69"/>
      <c r="O62" s="71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spans="1:26" ht="17" hidden="1" customHeight="1">
      <c r="A63" s="512">
        <v>3210</v>
      </c>
      <c r="B63" s="72">
        <v>210</v>
      </c>
      <c r="C63" s="115" t="s">
        <v>135</v>
      </c>
      <c r="D63" s="63" t="s">
        <v>121</v>
      </c>
      <c r="E63" s="64">
        <f>E66/255*B63</f>
        <v>0.308</v>
      </c>
      <c r="F63" s="64"/>
      <c r="G63" s="64"/>
      <c r="H63" s="64"/>
      <c r="I63" s="55">
        <f t="shared" si="0"/>
        <v>681.81818181818187</v>
      </c>
      <c r="J63" s="55">
        <f>SUMIF('3-Basis ruimtestaat'!J:J,A63,'3-Basis ruimtestaat'!I:I)</f>
        <v>0</v>
      </c>
      <c r="K63" s="66" t="str">
        <f t="shared" si="1"/>
        <v/>
      </c>
      <c r="L63" s="68"/>
      <c r="M63" s="57" t="s">
        <v>136</v>
      </c>
      <c r="N63" s="69"/>
      <c r="O63" s="84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1:26" ht="17" hidden="1" customHeight="1">
      <c r="A64" s="512">
        <v>3230</v>
      </c>
      <c r="B64" s="72">
        <v>230</v>
      </c>
      <c r="C64" s="115" t="s">
        <v>135</v>
      </c>
      <c r="D64" s="63" t="s">
        <v>122</v>
      </c>
      <c r="E64" s="64">
        <f>E66/255*B64</f>
        <v>0.33733333333333332</v>
      </c>
      <c r="F64" s="64"/>
      <c r="G64" s="64"/>
      <c r="H64" s="64"/>
      <c r="I64" s="55">
        <f t="shared" ref="I64:I65" si="6">IF(E64=0,0,B64/(E64+F64+G64+H64))</f>
        <v>681.81818181818187</v>
      </c>
      <c r="J64" s="55">
        <f>SUMIF('3-Basis ruimtestaat'!J:J,A64,'3-Basis ruimtestaat'!I:I)</f>
        <v>0</v>
      </c>
      <c r="K64" s="66" t="str">
        <f t="shared" si="1"/>
        <v/>
      </c>
      <c r="L64" s="68"/>
      <c r="M64" s="57" t="s">
        <v>136</v>
      </c>
      <c r="N64" s="69"/>
      <c r="O64" s="84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17" hidden="1" customHeight="1">
      <c r="A65" s="512">
        <v>3245</v>
      </c>
      <c r="B65" s="72">
        <v>245</v>
      </c>
      <c r="C65" s="115" t="s">
        <v>135</v>
      </c>
      <c r="D65" s="63" t="s">
        <v>123</v>
      </c>
      <c r="E65" s="64">
        <f>E66/255*B65</f>
        <v>0.35933333333333334</v>
      </c>
      <c r="F65" s="64"/>
      <c r="G65" s="64"/>
      <c r="H65" s="64"/>
      <c r="I65" s="55">
        <f t="shared" si="6"/>
        <v>681.81818181818176</v>
      </c>
      <c r="J65" s="55">
        <f>SUMIF('3-Basis ruimtestaat'!J:J,A65,'3-Basis ruimtestaat'!I:I)</f>
        <v>0</v>
      </c>
      <c r="K65" s="66" t="str">
        <f t="shared" si="1"/>
        <v/>
      </c>
      <c r="L65" s="68"/>
      <c r="M65" s="57" t="s">
        <v>136</v>
      </c>
      <c r="N65" s="69"/>
      <c r="O65" s="84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pans="1:26" ht="17" customHeight="1">
      <c r="A66" s="512">
        <v>3255</v>
      </c>
      <c r="B66" s="72">
        <v>255</v>
      </c>
      <c r="C66" s="115" t="s">
        <v>135</v>
      </c>
      <c r="D66" s="63" t="s">
        <v>124</v>
      </c>
      <c r="E66" s="64">
        <f>O66*$O$9</f>
        <v>0.374</v>
      </c>
      <c r="F66" s="64"/>
      <c r="G66" s="64"/>
      <c r="H66" s="64"/>
      <c r="I66" s="55">
        <f t="shared" si="0"/>
        <v>681.81818181818187</v>
      </c>
      <c r="J66" s="55">
        <f>SUMIF('3-Basis ruimtestaat'!J:J,A66,'3-Basis ruimtestaat'!I:I)</f>
        <v>1738.6969999999997</v>
      </c>
      <c r="K66" s="66">
        <f t="shared" si="1"/>
        <v>0.13018960377275701</v>
      </c>
      <c r="L66" s="68"/>
      <c r="M66" s="57" t="s">
        <v>136</v>
      </c>
      <c r="N66" s="69"/>
      <c r="O66" s="92">
        <v>0.374</v>
      </c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spans="1:26" ht="17" customHeight="1" thickBot="1">
      <c r="A67" s="512">
        <v>3510</v>
      </c>
      <c r="B67" s="113">
        <v>510</v>
      </c>
      <c r="C67" s="115" t="s">
        <v>135</v>
      </c>
      <c r="D67" s="63" t="s">
        <v>125</v>
      </c>
      <c r="E67" s="64">
        <f>E66</f>
        <v>0.374</v>
      </c>
      <c r="F67" s="64">
        <f>E67*0.5</f>
        <v>0.187</v>
      </c>
      <c r="G67" s="64"/>
      <c r="H67" s="64"/>
      <c r="I67" s="55">
        <f t="shared" si="0"/>
        <v>909.09090909090924</v>
      </c>
      <c r="J67" s="55">
        <f>SUMIF('3-Basis ruimtestaat'!J:J,A67,'3-Basis ruimtestaat'!I:I)</f>
        <v>595.09999999999991</v>
      </c>
      <c r="K67" s="66">
        <f t="shared" si="1"/>
        <v>4.4559709486568219E-2</v>
      </c>
      <c r="L67" s="68"/>
      <c r="M67" s="57" t="s">
        <v>136</v>
      </c>
      <c r="N67" s="69"/>
      <c r="O67" s="71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spans="1:26" ht="17" hidden="1" customHeight="1">
      <c r="A68" s="512">
        <v>4010</v>
      </c>
      <c r="B68" s="62">
        <v>10</v>
      </c>
      <c r="C68" s="116" t="s">
        <v>138</v>
      </c>
      <c r="D68" s="63" t="s">
        <v>107</v>
      </c>
      <c r="E68" s="64">
        <f>E83/255*B68*1.5</f>
        <v>7.4999999999999983E-2</v>
      </c>
      <c r="F68" s="64"/>
      <c r="G68" s="64"/>
      <c r="H68" s="64"/>
      <c r="I68" s="55">
        <f t="shared" si="0"/>
        <v>133.33333333333337</v>
      </c>
      <c r="J68" s="55">
        <f>SUMIF('3-Basis ruimtestaat'!J:J,A68,'3-Basis ruimtestaat'!I:I)</f>
        <v>0</v>
      </c>
      <c r="K68" s="66" t="str">
        <f t="shared" si="1"/>
        <v/>
      </c>
      <c r="L68" s="68"/>
      <c r="M68" s="57" t="s">
        <v>136</v>
      </c>
      <c r="N68" s="69"/>
      <c r="O68" s="71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17" hidden="1" customHeight="1">
      <c r="A69" s="512">
        <v>4012</v>
      </c>
      <c r="B69" s="72">
        <v>12</v>
      </c>
      <c r="C69" s="116" t="s">
        <v>138</v>
      </c>
      <c r="D69" s="63" t="s">
        <v>109</v>
      </c>
      <c r="E69" s="64">
        <f>E83/255*B69*1.5</f>
        <v>8.9999999999999983E-2</v>
      </c>
      <c r="F69" s="64"/>
      <c r="G69" s="64"/>
      <c r="H69" s="64"/>
      <c r="I69" s="55">
        <f t="shared" si="0"/>
        <v>133.33333333333337</v>
      </c>
      <c r="J69" s="55">
        <f>SUMIF('3-Basis ruimtestaat'!J:J,A69,'3-Basis ruimtestaat'!I:I)</f>
        <v>0</v>
      </c>
      <c r="K69" s="66" t="str">
        <f t="shared" si="1"/>
        <v/>
      </c>
      <c r="L69" s="68"/>
      <c r="M69" s="57" t="s">
        <v>136</v>
      </c>
      <c r="N69" s="69"/>
      <c r="O69" s="84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spans="1:26" ht="17" hidden="1" customHeight="1">
      <c r="A70" s="512">
        <v>4040</v>
      </c>
      <c r="B70" s="72">
        <v>40</v>
      </c>
      <c r="C70" s="116" t="s">
        <v>138</v>
      </c>
      <c r="D70" s="63" t="s">
        <v>137</v>
      </c>
      <c r="E70" s="64">
        <f>E83/255*B70*1.3</f>
        <v>0.25999999999999995</v>
      </c>
      <c r="F70" s="64"/>
      <c r="G70" s="64"/>
      <c r="H70" s="64"/>
      <c r="I70" s="55">
        <f t="shared" si="0"/>
        <v>153.84615384615387</v>
      </c>
      <c r="J70" s="55">
        <f>SUMIF('3-Basis ruimtestaat'!J:J,A70,'3-Basis ruimtestaat'!I:I)</f>
        <v>0</v>
      </c>
      <c r="K70" s="66" t="str">
        <f t="shared" si="1"/>
        <v/>
      </c>
      <c r="L70" s="68"/>
      <c r="M70" s="57" t="s">
        <v>136</v>
      </c>
      <c r="N70" s="69"/>
      <c r="O70" s="84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1:26" ht="17" customHeight="1">
      <c r="A71" s="512">
        <v>4052</v>
      </c>
      <c r="B71" s="72">
        <v>52</v>
      </c>
      <c r="C71" s="116" t="s">
        <v>138</v>
      </c>
      <c r="D71" s="63" t="s">
        <v>111</v>
      </c>
      <c r="E71" s="64">
        <f>E83/255*B71*1.4</f>
        <v>0.36399999999999993</v>
      </c>
      <c r="F71" s="64"/>
      <c r="G71" s="64"/>
      <c r="H71" s="64"/>
      <c r="I71" s="55">
        <f t="shared" si="0"/>
        <v>142.85714285714289</v>
      </c>
      <c r="J71" s="55">
        <f>SUMIF('3-Basis ruimtestaat'!J:J,A71,'3-Basis ruimtestaat'!I:I)</f>
        <v>3</v>
      </c>
      <c r="K71" s="66">
        <f t="shared" si="1"/>
        <v>2.2463305068006162E-4</v>
      </c>
      <c r="L71" s="68"/>
      <c r="M71" s="57" t="s">
        <v>136</v>
      </c>
      <c r="N71" s="69"/>
      <c r="O71" s="84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pans="1:26" ht="17" hidden="1" customHeight="1">
      <c r="A72" s="512">
        <v>4080</v>
      </c>
      <c r="B72" s="72">
        <v>80</v>
      </c>
      <c r="C72" s="116" t="s">
        <v>138</v>
      </c>
      <c r="D72" s="63" t="s">
        <v>112</v>
      </c>
      <c r="E72" s="64">
        <f>E83/255*B72*1.2</f>
        <v>0.47999999999999987</v>
      </c>
      <c r="F72" s="64"/>
      <c r="G72" s="64"/>
      <c r="H72" s="64"/>
      <c r="I72" s="55">
        <f t="shared" si="0"/>
        <v>166.66666666666671</v>
      </c>
      <c r="J72" s="55">
        <f>SUMIF('3-Basis ruimtestaat'!J:J,A72,'3-Basis ruimtestaat'!I:I)</f>
        <v>0</v>
      </c>
      <c r="K72" s="66" t="str">
        <f t="shared" si="1"/>
        <v/>
      </c>
      <c r="L72" s="68"/>
      <c r="M72" s="57" t="s">
        <v>136</v>
      </c>
      <c r="N72" s="69"/>
      <c r="O72" s="84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spans="1:26" ht="17" hidden="1" customHeight="1">
      <c r="A73" s="512">
        <v>4104</v>
      </c>
      <c r="B73" s="72">
        <v>104</v>
      </c>
      <c r="C73" s="116" t="s">
        <v>138</v>
      </c>
      <c r="D73" s="63" t="s">
        <v>113</v>
      </c>
      <c r="E73" s="64">
        <f>E83/255*B73*1.2</f>
        <v>0.62399999999999989</v>
      </c>
      <c r="F73" s="117"/>
      <c r="G73" s="117"/>
      <c r="H73" s="64"/>
      <c r="I73" s="55">
        <f t="shared" si="0"/>
        <v>166.66666666666669</v>
      </c>
      <c r="J73" s="55">
        <f>SUMIF('3-Basis ruimtestaat'!J:J,A73,'3-Basis ruimtestaat'!I:I)</f>
        <v>0</v>
      </c>
      <c r="K73" s="66" t="str">
        <f t="shared" si="1"/>
        <v/>
      </c>
      <c r="L73" s="68"/>
      <c r="M73" s="57" t="s">
        <v>136</v>
      </c>
      <c r="N73" s="69"/>
      <c r="O73" s="71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spans="1:26" ht="17" hidden="1" customHeight="1">
      <c r="A74" s="512">
        <v>4120</v>
      </c>
      <c r="B74" s="72">
        <v>120</v>
      </c>
      <c r="C74" s="116" t="s">
        <v>138</v>
      </c>
      <c r="D74" s="63" t="s">
        <v>114</v>
      </c>
      <c r="E74" s="64">
        <f>E83/255*B74*1.2</f>
        <v>0.71999999999999986</v>
      </c>
      <c r="F74" s="117"/>
      <c r="G74" s="117"/>
      <c r="H74" s="64"/>
      <c r="I74" s="55">
        <f t="shared" si="0"/>
        <v>166.66666666666669</v>
      </c>
      <c r="J74" s="55">
        <f>SUMIF('3-Basis ruimtestaat'!J:J,A74,'3-Basis ruimtestaat'!I:I)</f>
        <v>0</v>
      </c>
      <c r="K74" s="66" t="str">
        <f t="shared" ref="K74:K137" si="7">IF(J74=0,"",J74/$J$482)</f>
        <v/>
      </c>
      <c r="L74" s="68"/>
      <c r="M74" s="57" t="s">
        <v>136</v>
      </c>
      <c r="N74" s="69"/>
      <c r="O74" s="71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spans="1:26" ht="17" hidden="1" customHeight="1">
      <c r="A75" s="512">
        <v>4130</v>
      </c>
      <c r="B75" s="72">
        <v>130</v>
      </c>
      <c r="C75" s="116" t="s">
        <v>138</v>
      </c>
      <c r="D75" s="63" t="s">
        <v>115</v>
      </c>
      <c r="E75" s="64">
        <f>E83/255*B75*1.1</f>
        <v>0.71499999999999997</v>
      </c>
      <c r="F75" s="64"/>
      <c r="G75" s="64"/>
      <c r="H75" s="64"/>
      <c r="I75" s="55">
        <f t="shared" si="0"/>
        <v>181.81818181818181</v>
      </c>
      <c r="J75" s="55">
        <f>SUMIF('3-Basis ruimtestaat'!J:J,A75,'3-Basis ruimtestaat'!I:I)</f>
        <v>0</v>
      </c>
      <c r="K75" s="66" t="str">
        <f t="shared" si="7"/>
        <v/>
      </c>
      <c r="L75" s="68"/>
      <c r="M75" s="57" t="s">
        <v>136</v>
      </c>
      <c r="N75" s="69"/>
      <c r="O75" s="71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pans="1:26" ht="17" hidden="1" customHeight="1">
      <c r="A76" s="512">
        <v>4156</v>
      </c>
      <c r="B76" s="72">
        <v>156</v>
      </c>
      <c r="C76" s="116" t="s">
        <v>138</v>
      </c>
      <c r="D76" s="63" t="s">
        <v>117</v>
      </c>
      <c r="E76" s="64">
        <f>E83/255*B76*1.1</f>
        <v>0.85799999999999998</v>
      </c>
      <c r="F76" s="64"/>
      <c r="G76" s="64"/>
      <c r="H76" s="64"/>
      <c r="I76" s="55">
        <f t="shared" si="0"/>
        <v>181.81818181818181</v>
      </c>
      <c r="J76" s="55">
        <f>SUMIF('3-Basis ruimtestaat'!J:J,A76,'3-Basis ruimtestaat'!I:I)</f>
        <v>0</v>
      </c>
      <c r="K76" s="66" t="str">
        <f t="shared" si="7"/>
        <v/>
      </c>
      <c r="L76" s="68"/>
      <c r="M76" s="57" t="s">
        <v>136</v>
      </c>
      <c r="N76" s="69"/>
      <c r="O76" s="71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spans="1:26" ht="17" hidden="1" customHeight="1">
      <c r="A77" s="512">
        <v>4160</v>
      </c>
      <c r="B77" s="72">
        <v>160</v>
      </c>
      <c r="C77" s="116" t="s">
        <v>138</v>
      </c>
      <c r="D77" s="63" t="s">
        <v>118</v>
      </c>
      <c r="E77" s="64">
        <f>E83/255*B77</f>
        <v>0.79999999999999982</v>
      </c>
      <c r="F77" s="64"/>
      <c r="G77" s="64"/>
      <c r="H77" s="64"/>
      <c r="I77" s="55">
        <f t="shared" si="0"/>
        <v>200.00000000000006</v>
      </c>
      <c r="J77" s="55">
        <f>SUMIF('3-Basis ruimtestaat'!J:J,A77,'3-Basis ruimtestaat'!I:I)</f>
        <v>0</v>
      </c>
      <c r="K77" s="66" t="str">
        <f t="shared" si="7"/>
        <v/>
      </c>
      <c r="L77" s="68"/>
      <c r="M77" s="57" t="s">
        <v>136</v>
      </c>
      <c r="N77" s="69"/>
      <c r="O77" s="71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spans="1:26" ht="17" hidden="1" customHeight="1">
      <c r="A78" s="512">
        <v>4200</v>
      </c>
      <c r="B78" s="72">
        <v>200</v>
      </c>
      <c r="C78" s="116" t="s">
        <v>138</v>
      </c>
      <c r="D78" s="63" t="s">
        <v>119</v>
      </c>
      <c r="E78" s="64">
        <f>E83/255*B78</f>
        <v>0.99999999999999989</v>
      </c>
      <c r="F78" s="64"/>
      <c r="G78" s="64"/>
      <c r="H78" s="64"/>
      <c r="I78" s="55">
        <f t="shared" si="0"/>
        <v>200.00000000000003</v>
      </c>
      <c r="J78" s="55">
        <f>SUMIF('3-Basis ruimtestaat'!J:J,A78,'3-Basis ruimtestaat'!I:I)</f>
        <v>0</v>
      </c>
      <c r="K78" s="66" t="str">
        <f t="shared" si="7"/>
        <v/>
      </c>
      <c r="L78" s="68"/>
      <c r="M78" s="57" t="s">
        <v>136</v>
      </c>
      <c r="N78" s="69"/>
      <c r="O78" s="71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spans="1:26" ht="17" hidden="1" customHeight="1">
      <c r="A79" s="512">
        <v>4208</v>
      </c>
      <c r="B79" s="72">
        <v>208</v>
      </c>
      <c r="C79" s="116" t="s">
        <v>138</v>
      </c>
      <c r="D79" s="63" t="s">
        <v>139</v>
      </c>
      <c r="E79" s="64">
        <f>E83/255*B79*1.05</f>
        <v>1.0919999999999999</v>
      </c>
      <c r="F79" s="64"/>
      <c r="G79" s="64"/>
      <c r="H79" s="64"/>
      <c r="I79" s="55">
        <f t="shared" si="0"/>
        <v>190.47619047619051</v>
      </c>
      <c r="J79" s="55">
        <f>SUMIF('3-Basis ruimtestaat'!J:J,A79,'3-Basis ruimtestaat'!I:I)</f>
        <v>0</v>
      </c>
      <c r="K79" s="66" t="str">
        <f t="shared" si="7"/>
        <v/>
      </c>
      <c r="L79" s="68"/>
      <c r="M79" s="57" t="s">
        <v>136</v>
      </c>
      <c r="N79" s="69"/>
      <c r="O79" s="71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spans="1:26" ht="17" hidden="1" customHeight="1">
      <c r="A80" s="512">
        <v>4210</v>
      </c>
      <c r="B80" s="72">
        <v>210</v>
      </c>
      <c r="C80" s="116" t="s">
        <v>138</v>
      </c>
      <c r="D80" s="63" t="s">
        <v>121</v>
      </c>
      <c r="E80" s="64">
        <f>E83/255*B80</f>
        <v>1.0499999999999998</v>
      </c>
      <c r="F80" s="64"/>
      <c r="G80" s="64"/>
      <c r="H80" s="64"/>
      <c r="I80" s="55">
        <f t="shared" si="0"/>
        <v>200.00000000000003</v>
      </c>
      <c r="J80" s="55">
        <f>SUMIF('3-Basis ruimtestaat'!J:J,A80,'3-Basis ruimtestaat'!I:I)</f>
        <v>0</v>
      </c>
      <c r="K80" s="66" t="str">
        <f t="shared" si="7"/>
        <v/>
      </c>
      <c r="L80" s="68"/>
      <c r="M80" s="57" t="s">
        <v>136</v>
      </c>
      <c r="N80" s="69"/>
      <c r="O80" s="71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spans="1:26" ht="17" hidden="1" customHeight="1">
      <c r="A81" s="512">
        <v>4225</v>
      </c>
      <c r="B81" s="72">
        <v>225</v>
      </c>
      <c r="C81" s="116" t="s">
        <v>138</v>
      </c>
      <c r="D81" s="63" t="s">
        <v>140</v>
      </c>
      <c r="E81" s="64">
        <f>E83/255*B81</f>
        <v>1.1249999999999998</v>
      </c>
      <c r="F81" s="64"/>
      <c r="G81" s="64"/>
      <c r="H81" s="64"/>
      <c r="I81" s="55">
        <f t="shared" ref="I81:I82" si="8">IF(E81=0,0,B81/(E81+F81+G81+H81))</f>
        <v>200.00000000000003</v>
      </c>
      <c r="J81" s="55">
        <f>SUMIF('3-Basis ruimtestaat'!J:J,A81,'3-Basis ruimtestaat'!I:I)</f>
        <v>0</v>
      </c>
      <c r="K81" s="66" t="str">
        <f t="shared" si="7"/>
        <v/>
      </c>
      <c r="L81" s="68"/>
      <c r="M81" s="57" t="s">
        <v>136</v>
      </c>
      <c r="N81" s="69"/>
      <c r="O81" s="71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spans="1:26" ht="17" hidden="1" customHeight="1">
      <c r="A82" s="512">
        <v>4245</v>
      </c>
      <c r="B82" s="72">
        <v>245</v>
      </c>
      <c r="C82" s="116" t="s">
        <v>138</v>
      </c>
      <c r="D82" s="63" t="s">
        <v>123</v>
      </c>
      <c r="E82" s="64">
        <f>E83/255*B82</f>
        <v>1.2249999999999999</v>
      </c>
      <c r="F82" s="64"/>
      <c r="G82" s="64"/>
      <c r="H82" s="64"/>
      <c r="I82" s="55">
        <f t="shared" si="8"/>
        <v>200.00000000000003</v>
      </c>
      <c r="J82" s="55">
        <f>SUMIF('3-Basis ruimtestaat'!J:J,A82,'3-Basis ruimtestaat'!I:I)</f>
        <v>0</v>
      </c>
      <c r="K82" s="66" t="str">
        <f t="shared" si="7"/>
        <v/>
      </c>
      <c r="L82" s="68"/>
      <c r="M82" s="57" t="s">
        <v>136</v>
      </c>
      <c r="N82" s="69"/>
      <c r="O82" s="84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6" ht="17" customHeight="1">
      <c r="A83" s="512">
        <v>4255</v>
      </c>
      <c r="B83" s="72">
        <v>255</v>
      </c>
      <c r="C83" s="116" t="s">
        <v>138</v>
      </c>
      <c r="D83" s="63" t="s">
        <v>124</v>
      </c>
      <c r="E83" s="64">
        <f>O83*$O$9</f>
        <v>1.2749999999999999</v>
      </c>
      <c r="F83" s="64"/>
      <c r="G83" s="64"/>
      <c r="H83" s="64"/>
      <c r="I83" s="55">
        <f t="shared" si="0"/>
        <v>200</v>
      </c>
      <c r="J83" s="55">
        <f>SUMIF('3-Basis ruimtestaat'!J:J,A83,'3-Basis ruimtestaat'!I:I)</f>
        <v>3.2</v>
      </c>
      <c r="K83" s="66">
        <f t="shared" si="7"/>
        <v>2.3960858739206575E-4</v>
      </c>
      <c r="L83" s="68"/>
      <c r="M83" s="57" t="s">
        <v>136</v>
      </c>
      <c r="N83" s="69"/>
      <c r="O83" s="92">
        <v>1.2749999999999999</v>
      </c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spans="1:26" ht="17" hidden="1" customHeight="1" thickBot="1">
      <c r="A84" s="512">
        <v>4365</v>
      </c>
      <c r="B84" s="113">
        <v>365</v>
      </c>
      <c r="C84" s="116" t="s">
        <v>138</v>
      </c>
      <c r="D84" s="63" t="s">
        <v>129</v>
      </c>
      <c r="E84" s="64">
        <f>E83</f>
        <v>1.2749999999999999</v>
      </c>
      <c r="F84" s="64"/>
      <c r="G84" s="64">
        <f>E84/255*104*0.8</f>
        <v>0.41599999999999993</v>
      </c>
      <c r="H84" s="64"/>
      <c r="I84" s="55">
        <f t="shared" si="0"/>
        <v>215.8486102897694</v>
      </c>
      <c r="J84" s="55">
        <f>SUMIF('3-Basis ruimtestaat'!J:J,A84,'3-Basis ruimtestaat'!I:I)</f>
        <v>0</v>
      </c>
      <c r="K84" s="66" t="str">
        <f t="shared" si="7"/>
        <v/>
      </c>
      <c r="L84" s="68"/>
      <c r="M84" s="57" t="s">
        <v>136</v>
      </c>
      <c r="N84" s="69"/>
      <c r="O84" s="71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spans="1:26" ht="17" hidden="1" customHeight="1">
      <c r="A85" s="512">
        <v>5010</v>
      </c>
      <c r="B85" s="62">
        <v>10</v>
      </c>
      <c r="C85" s="115" t="s">
        <v>141</v>
      </c>
      <c r="D85" s="63" t="s">
        <v>107</v>
      </c>
      <c r="E85" s="64">
        <f>E100/255*B85*1.5</f>
        <v>4.605882352941177E-2</v>
      </c>
      <c r="F85" s="64"/>
      <c r="G85" s="64"/>
      <c r="H85" s="64"/>
      <c r="I85" s="55">
        <f t="shared" si="0"/>
        <v>217.11366538952743</v>
      </c>
      <c r="J85" s="55">
        <f>SUMIF('3-Basis ruimtestaat'!J:J,A85,'3-Basis ruimtestaat'!I:I)</f>
        <v>0</v>
      </c>
      <c r="K85" s="66" t="str">
        <f t="shared" si="7"/>
        <v/>
      </c>
      <c r="L85" s="68"/>
      <c r="M85" s="57" t="s">
        <v>136</v>
      </c>
      <c r="N85" s="69"/>
      <c r="O85" s="71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spans="1:26" ht="17" hidden="1" customHeight="1">
      <c r="A86" s="512">
        <v>5012</v>
      </c>
      <c r="B86" s="72">
        <v>12</v>
      </c>
      <c r="C86" s="115" t="s">
        <v>141</v>
      </c>
      <c r="D86" s="63" t="s">
        <v>109</v>
      </c>
      <c r="E86" s="64">
        <f>E100/255*B86*1.5</f>
        <v>5.527058823529412E-2</v>
      </c>
      <c r="F86" s="64"/>
      <c r="G86" s="64"/>
      <c r="H86" s="64"/>
      <c r="I86" s="55">
        <f t="shared" si="0"/>
        <v>217.11366538952745</v>
      </c>
      <c r="J86" s="55">
        <f>SUMIF('3-Basis ruimtestaat'!J:J,A86,'3-Basis ruimtestaat'!I:I)</f>
        <v>0</v>
      </c>
      <c r="K86" s="66" t="str">
        <f t="shared" si="7"/>
        <v/>
      </c>
      <c r="L86" s="68"/>
      <c r="M86" s="57" t="s">
        <v>136</v>
      </c>
      <c r="N86" s="69"/>
      <c r="O86" s="71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ht="17" hidden="1" customHeight="1">
      <c r="A87" s="512">
        <v>5040</v>
      </c>
      <c r="B87" s="72">
        <v>40</v>
      </c>
      <c r="C87" s="115" t="s">
        <v>141</v>
      </c>
      <c r="D87" s="63" t="s">
        <v>137</v>
      </c>
      <c r="E87" s="64">
        <f>E100/255*B87*1.3</f>
        <v>0.15967058823529415</v>
      </c>
      <c r="F87" s="64"/>
      <c r="G87" s="64"/>
      <c r="H87" s="64"/>
      <c r="I87" s="55">
        <f t="shared" si="0"/>
        <v>250.51576775714702</v>
      </c>
      <c r="J87" s="55">
        <f>SUMIF('3-Basis ruimtestaat'!J:J,A87,'3-Basis ruimtestaat'!I:I)</f>
        <v>0</v>
      </c>
      <c r="K87" s="66" t="str">
        <f t="shared" si="7"/>
        <v/>
      </c>
      <c r="L87" s="68"/>
      <c r="M87" s="57" t="s">
        <v>136</v>
      </c>
      <c r="N87" s="69"/>
      <c r="O87" s="71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ht="17" customHeight="1">
      <c r="A88" s="512">
        <v>5052</v>
      </c>
      <c r="B88" s="72">
        <v>52</v>
      </c>
      <c r="C88" s="115" t="s">
        <v>141</v>
      </c>
      <c r="D88" s="63" t="s">
        <v>111</v>
      </c>
      <c r="E88" s="64">
        <f>E100/255*B88*1.4</f>
        <v>0.22353882352941176</v>
      </c>
      <c r="F88" s="64"/>
      <c r="G88" s="64"/>
      <c r="H88" s="64"/>
      <c r="I88" s="55">
        <f t="shared" si="0"/>
        <v>232.62178434592229</v>
      </c>
      <c r="J88" s="55">
        <f>SUMIF('3-Basis ruimtestaat'!J:J,A88,'3-Basis ruimtestaat'!I:I)</f>
        <v>71.699999999999989</v>
      </c>
      <c r="K88" s="66">
        <f t="shared" si="7"/>
        <v>5.368729911253472E-3</v>
      </c>
      <c r="L88" s="68"/>
      <c r="M88" s="57" t="s">
        <v>136</v>
      </c>
      <c r="N88" s="69"/>
      <c r="O88" s="71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17" hidden="1" customHeight="1">
      <c r="A89" s="512">
        <v>5080</v>
      </c>
      <c r="B89" s="72">
        <v>80</v>
      </c>
      <c r="C89" s="115" t="s">
        <v>141</v>
      </c>
      <c r="D89" s="63" t="s">
        <v>112</v>
      </c>
      <c r="E89" s="64">
        <f>E100/255*B89*1.2</f>
        <v>0.29477647058823531</v>
      </c>
      <c r="F89" s="64"/>
      <c r="G89" s="64"/>
      <c r="H89" s="64"/>
      <c r="I89" s="55">
        <f t="shared" si="0"/>
        <v>271.39208173690929</v>
      </c>
      <c r="J89" s="55">
        <f>SUMIF('3-Basis ruimtestaat'!J:J,A89,'3-Basis ruimtestaat'!I:I)</f>
        <v>0</v>
      </c>
      <c r="K89" s="66" t="str">
        <f t="shared" si="7"/>
        <v/>
      </c>
      <c r="L89" s="68"/>
      <c r="M89" s="57" t="s">
        <v>136</v>
      </c>
      <c r="N89" s="69"/>
      <c r="O89" s="71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17" hidden="1" customHeight="1">
      <c r="A90" s="512">
        <v>5104</v>
      </c>
      <c r="B90" s="72">
        <v>104</v>
      </c>
      <c r="C90" s="115" t="s">
        <v>141</v>
      </c>
      <c r="D90" s="63" t="s">
        <v>113</v>
      </c>
      <c r="E90" s="64">
        <f>E100/255*B90*1.2</f>
        <v>0.38320941176470585</v>
      </c>
      <c r="F90" s="64"/>
      <c r="G90" s="64"/>
      <c r="H90" s="64"/>
      <c r="I90" s="55">
        <f t="shared" si="0"/>
        <v>271.39208173690935</v>
      </c>
      <c r="J90" s="55">
        <f>SUMIF('3-Basis ruimtestaat'!J:J,A90,'3-Basis ruimtestaat'!I:I)</f>
        <v>0</v>
      </c>
      <c r="K90" s="66" t="str">
        <f t="shared" si="7"/>
        <v/>
      </c>
      <c r="L90" s="68"/>
      <c r="M90" s="57" t="s">
        <v>136</v>
      </c>
      <c r="N90" s="69"/>
      <c r="O90" s="71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17" hidden="1" customHeight="1">
      <c r="A91" s="512">
        <v>5120</v>
      </c>
      <c r="B91" s="72">
        <v>120</v>
      </c>
      <c r="C91" s="115" t="s">
        <v>141</v>
      </c>
      <c r="D91" s="63" t="s">
        <v>114</v>
      </c>
      <c r="E91" s="64">
        <f>E100/255*B91*1.2</f>
        <v>0.44216470588235296</v>
      </c>
      <c r="F91" s="64"/>
      <c r="G91" s="64"/>
      <c r="H91" s="64"/>
      <c r="I91" s="55">
        <f t="shared" si="0"/>
        <v>271.39208173690929</v>
      </c>
      <c r="J91" s="55">
        <f>SUMIF('3-Basis ruimtestaat'!J:J,A91,'3-Basis ruimtestaat'!I:I)</f>
        <v>0</v>
      </c>
      <c r="K91" s="66" t="str">
        <f t="shared" si="7"/>
        <v/>
      </c>
      <c r="L91" s="68"/>
      <c r="M91" s="57" t="s">
        <v>136</v>
      </c>
      <c r="N91" s="69"/>
      <c r="O91" s="71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17" hidden="1" customHeight="1">
      <c r="A92" s="512">
        <v>5130</v>
      </c>
      <c r="B92" s="72">
        <v>130</v>
      </c>
      <c r="C92" s="115" t="s">
        <v>141</v>
      </c>
      <c r="D92" s="63" t="s">
        <v>115</v>
      </c>
      <c r="E92" s="64">
        <f>E100/255*B92*1.1</f>
        <v>0.43909411764705891</v>
      </c>
      <c r="F92" s="64"/>
      <c r="G92" s="64"/>
      <c r="H92" s="64"/>
      <c r="I92" s="55">
        <f t="shared" si="0"/>
        <v>296.06408916753736</v>
      </c>
      <c r="J92" s="55">
        <f>SUMIF('3-Basis ruimtestaat'!J:J,A92,'3-Basis ruimtestaat'!I:I)</f>
        <v>0</v>
      </c>
      <c r="K92" s="66" t="str">
        <f t="shared" si="7"/>
        <v/>
      </c>
      <c r="L92" s="68"/>
      <c r="M92" s="57" t="s">
        <v>136</v>
      </c>
      <c r="N92" s="69"/>
      <c r="O92" s="84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17" customHeight="1">
      <c r="A93" s="512">
        <v>5156</v>
      </c>
      <c r="B93" s="72">
        <v>156</v>
      </c>
      <c r="C93" s="115" t="s">
        <v>141</v>
      </c>
      <c r="D93" s="63" t="s">
        <v>117</v>
      </c>
      <c r="E93" s="64">
        <f>E100/255*B93*1.1</f>
        <v>0.52691294117647069</v>
      </c>
      <c r="F93" s="64"/>
      <c r="G93" s="64"/>
      <c r="H93" s="64"/>
      <c r="I93" s="55">
        <f t="shared" si="0"/>
        <v>296.06408916753736</v>
      </c>
      <c r="J93" s="55">
        <f>SUMIF('3-Basis ruimtestaat'!J:J,A93,'3-Basis ruimtestaat'!I:I)</f>
        <v>16.2</v>
      </c>
      <c r="K93" s="66">
        <f t="shared" si="7"/>
        <v>1.2130184736723326E-3</v>
      </c>
      <c r="L93" s="68"/>
      <c r="M93" s="57" t="s">
        <v>136</v>
      </c>
      <c r="N93" s="69"/>
      <c r="O93" s="71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17" hidden="1" customHeight="1">
      <c r="A94" s="512">
        <v>5160</v>
      </c>
      <c r="B94" s="72">
        <v>160</v>
      </c>
      <c r="C94" s="115" t="s">
        <v>141</v>
      </c>
      <c r="D94" s="63" t="s">
        <v>118</v>
      </c>
      <c r="E94" s="64">
        <f>E100/255*B94</f>
        <v>0.49129411764705888</v>
      </c>
      <c r="F94" s="64"/>
      <c r="G94" s="64"/>
      <c r="H94" s="64"/>
      <c r="I94" s="55">
        <f t="shared" si="0"/>
        <v>325.67049808429113</v>
      </c>
      <c r="J94" s="55">
        <f>SUMIF('3-Basis ruimtestaat'!J:J,A94,'3-Basis ruimtestaat'!I:I)</f>
        <v>0</v>
      </c>
      <c r="K94" s="66" t="str">
        <f t="shared" si="7"/>
        <v/>
      </c>
      <c r="L94" s="68"/>
      <c r="M94" s="57" t="s">
        <v>136</v>
      </c>
      <c r="N94" s="69"/>
      <c r="O94" s="71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17" hidden="1" customHeight="1">
      <c r="A95" s="512">
        <v>5200</v>
      </c>
      <c r="B95" s="72">
        <v>200</v>
      </c>
      <c r="C95" s="115" t="s">
        <v>141</v>
      </c>
      <c r="D95" s="63" t="s">
        <v>119</v>
      </c>
      <c r="E95" s="64">
        <f>E100/255*B95</f>
        <v>0.61411764705882355</v>
      </c>
      <c r="F95" s="64"/>
      <c r="G95" s="64"/>
      <c r="H95" s="64"/>
      <c r="I95" s="55">
        <f t="shared" si="0"/>
        <v>325.67049808429118</v>
      </c>
      <c r="J95" s="55">
        <f>SUMIF('3-Basis ruimtestaat'!J:J,A95,'3-Basis ruimtestaat'!I:I)</f>
        <v>0</v>
      </c>
      <c r="K95" s="66" t="str">
        <f t="shared" si="7"/>
        <v/>
      </c>
      <c r="L95" s="68"/>
      <c r="M95" s="57" t="s">
        <v>136</v>
      </c>
      <c r="N95" s="69"/>
      <c r="O95" s="71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spans="1:26" ht="17" hidden="1" customHeight="1">
      <c r="A96" s="512">
        <v>5208</v>
      </c>
      <c r="B96" s="72">
        <v>208</v>
      </c>
      <c r="C96" s="115" t="s">
        <v>141</v>
      </c>
      <c r="D96" s="63" t="s">
        <v>139</v>
      </c>
      <c r="E96" s="64">
        <f>E100/255*B96*1.05</f>
        <v>0.67061647058823537</v>
      </c>
      <c r="F96" s="64"/>
      <c r="G96" s="64"/>
      <c r="H96" s="64"/>
      <c r="I96" s="55">
        <f t="shared" si="0"/>
        <v>310.16237912789632</v>
      </c>
      <c r="J96" s="55">
        <f>SUMIF('3-Basis ruimtestaat'!J:J,A96,'3-Basis ruimtestaat'!I:I)</f>
        <v>0</v>
      </c>
      <c r="K96" s="66" t="str">
        <f t="shared" si="7"/>
        <v/>
      </c>
      <c r="L96" s="68"/>
      <c r="M96" s="57" t="s">
        <v>136</v>
      </c>
      <c r="N96" s="69"/>
      <c r="O96" s="71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spans="1:26" ht="17" hidden="1" customHeight="1">
      <c r="A97" s="512">
        <v>5210</v>
      </c>
      <c r="B97" s="72">
        <v>210</v>
      </c>
      <c r="C97" s="115" t="s">
        <v>141</v>
      </c>
      <c r="D97" s="63" t="s">
        <v>121</v>
      </c>
      <c r="E97" s="64">
        <f>E100/255*B97</f>
        <v>0.6448235294117648</v>
      </c>
      <c r="F97" s="64"/>
      <c r="G97" s="64"/>
      <c r="H97" s="64"/>
      <c r="I97" s="55">
        <f t="shared" si="0"/>
        <v>325.67049808429113</v>
      </c>
      <c r="J97" s="55">
        <f>SUMIF('3-Basis ruimtestaat'!J:J,A97,'3-Basis ruimtestaat'!I:I)</f>
        <v>0</v>
      </c>
      <c r="K97" s="66" t="str">
        <f t="shared" si="7"/>
        <v/>
      </c>
      <c r="L97" s="68"/>
      <c r="M97" s="57" t="s">
        <v>136</v>
      </c>
      <c r="N97" s="69"/>
      <c r="O97" s="71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spans="1:26" ht="17" hidden="1" customHeight="1">
      <c r="A98" s="512">
        <v>5230</v>
      </c>
      <c r="B98" s="72">
        <v>230</v>
      </c>
      <c r="C98" s="115" t="s">
        <v>141</v>
      </c>
      <c r="D98" s="63" t="s">
        <v>122</v>
      </c>
      <c r="E98" s="64">
        <f>E100/255*B98</f>
        <v>0.70623529411764707</v>
      </c>
      <c r="F98" s="64"/>
      <c r="G98" s="64"/>
      <c r="H98" s="64"/>
      <c r="I98" s="55">
        <f t="shared" ref="I98:I99" si="9">IF(E98=0,0,B98/(E98+F98+G98+H98))</f>
        <v>325.67049808429118</v>
      </c>
      <c r="J98" s="55">
        <f>SUMIF('3-Basis ruimtestaat'!J:J,A98,'3-Basis ruimtestaat'!I:I)</f>
        <v>0</v>
      </c>
      <c r="K98" s="66" t="str">
        <f t="shared" si="7"/>
        <v/>
      </c>
      <c r="L98" s="68"/>
      <c r="M98" s="57" t="s">
        <v>136</v>
      </c>
      <c r="N98" s="69"/>
      <c r="O98" s="71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6" ht="17" hidden="1" customHeight="1">
      <c r="A99" s="512">
        <v>5245</v>
      </c>
      <c r="B99" s="72">
        <v>245</v>
      </c>
      <c r="C99" s="115" t="s">
        <v>141</v>
      </c>
      <c r="D99" s="63" t="s">
        <v>123</v>
      </c>
      <c r="E99" s="64">
        <f>E100/255*B99</f>
        <v>0.75229411764705889</v>
      </c>
      <c r="F99" s="64"/>
      <c r="G99" s="64"/>
      <c r="H99" s="64"/>
      <c r="I99" s="55">
        <f t="shared" si="9"/>
        <v>325.67049808429118</v>
      </c>
      <c r="J99" s="55">
        <f>SUMIF('3-Basis ruimtestaat'!J:J,A99,'3-Basis ruimtestaat'!I:I)</f>
        <v>0</v>
      </c>
      <c r="K99" s="66" t="str">
        <f t="shared" si="7"/>
        <v/>
      </c>
      <c r="L99" s="68"/>
      <c r="M99" s="57" t="s">
        <v>136</v>
      </c>
      <c r="N99" s="69"/>
      <c r="O99" s="84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17" customHeight="1">
      <c r="A100" s="512">
        <v>5255</v>
      </c>
      <c r="B100" s="72">
        <v>255</v>
      </c>
      <c r="C100" s="115" t="s">
        <v>141</v>
      </c>
      <c r="D100" s="63" t="s">
        <v>124</v>
      </c>
      <c r="E100" s="64">
        <f>O100*$O$9</f>
        <v>0.78300000000000003</v>
      </c>
      <c r="F100" s="64"/>
      <c r="G100" s="64"/>
      <c r="H100" s="64"/>
      <c r="I100" s="55">
        <f t="shared" si="0"/>
        <v>325.67049808429118</v>
      </c>
      <c r="J100" s="55">
        <f>SUMIF('3-Basis ruimtestaat'!J:J,A100,'3-Basis ruimtestaat'!I:I)</f>
        <v>184.34000000000006</v>
      </c>
      <c r="K100" s="66">
        <f t="shared" si="7"/>
        <v>1.3802952187454191E-2</v>
      </c>
      <c r="L100" s="68"/>
      <c r="M100" s="57" t="s">
        <v>136</v>
      </c>
      <c r="N100" s="69"/>
      <c r="O100" s="92">
        <v>0.78300000000000003</v>
      </c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ht="17" customHeight="1" thickBot="1">
      <c r="A101" s="512">
        <v>5510</v>
      </c>
      <c r="B101" s="113">
        <v>510</v>
      </c>
      <c r="C101" s="115" t="s">
        <v>141</v>
      </c>
      <c r="D101" s="380" t="s">
        <v>125</v>
      </c>
      <c r="E101" s="64">
        <f>E100</f>
        <v>0.78300000000000003</v>
      </c>
      <c r="F101" s="64">
        <f>E101*0.5</f>
        <v>0.39150000000000001</v>
      </c>
      <c r="G101" s="64"/>
      <c r="H101" s="64"/>
      <c r="I101" s="55">
        <f t="shared" si="0"/>
        <v>434.22733077905485</v>
      </c>
      <c r="J101" s="55">
        <f>SUMIF('3-Basis ruimtestaat'!J:J,A101,'3-Basis ruimtestaat'!I:I)</f>
        <v>6.1</v>
      </c>
      <c r="K101" s="66">
        <f t="shared" si="7"/>
        <v>4.567538697161253E-4</v>
      </c>
      <c r="L101" s="68"/>
      <c r="M101" s="57" t="s">
        <v>136</v>
      </c>
      <c r="N101" s="69"/>
      <c r="O101" s="84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ht="17" hidden="1" customHeight="1">
      <c r="A102" s="512">
        <v>6010</v>
      </c>
      <c r="B102" s="62">
        <v>10</v>
      </c>
      <c r="C102" s="116" t="s">
        <v>142</v>
      </c>
      <c r="D102" s="63" t="s">
        <v>107</v>
      </c>
      <c r="E102" s="64">
        <f>E117/255*B102*1.5</f>
        <v>6.6117647058823545E-2</v>
      </c>
      <c r="F102" s="64"/>
      <c r="G102" s="64"/>
      <c r="H102" s="64"/>
      <c r="I102" s="55">
        <f t="shared" si="0"/>
        <v>151.24555160142344</v>
      </c>
      <c r="J102" s="55">
        <f>SUMIF('3-Basis ruimtestaat'!J:J,A102,'3-Basis ruimtestaat'!I:I)</f>
        <v>0</v>
      </c>
      <c r="K102" s="66" t="str">
        <f t="shared" si="7"/>
        <v/>
      </c>
      <c r="L102" s="68"/>
      <c r="M102" s="57" t="s">
        <v>136</v>
      </c>
      <c r="N102" s="69"/>
      <c r="O102" s="84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ht="17" hidden="1" customHeight="1">
      <c r="A103" s="512">
        <v>6012</v>
      </c>
      <c r="B103" s="72">
        <v>12</v>
      </c>
      <c r="C103" s="116" t="s">
        <v>142</v>
      </c>
      <c r="D103" s="63" t="s">
        <v>109</v>
      </c>
      <c r="E103" s="64">
        <f>E117/255*B103*1.5</f>
        <v>7.9341176470588248E-2</v>
      </c>
      <c r="F103" s="64"/>
      <c r="G103" s="64"/>
      <c r="H103" s="64"/>
      <c r="I103" s="55">
        <f t="shared" si="0"/>
        <v>151.24555160142347</v>
      </c>
      <c r="J103" s="55">
        <f>SUMIF('3-Basis ruimtestaat'!J:J,A103,'3-Basis ruimtestaat'!I:I)</f>
        <v>0</v>
      </c>
      <c r="K103" s="66" t="str">
        <f t="shared" si="7"/>
        <v/>
      </c>
      <c r="L103" s="68"/>
      <c r="M103" s="57" t="s">
        <v>136</v>
      </c>
      <c r="N103" s="69"/>
      <c r="O103" s="71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17" hidden="1" customHeight="1">
      <c r="A104" s="512">
        <v>6040</v>
      </c>
      <c r="B104" s="72">
        <v>40</v>
      </c>
      <c r="C104" s="116" t="s">
        <v>142</v>
      </c>
      <c r="D104" s="63" t="s">
        <v>137</v>
      </c>
      <c r="E104" s="64">
        <f>E117/255*B104*1.3</f>
        <v>0.22920784313725495</v>
      </c>
      <c r="F104" s="64"/>
      <c r="G104" s="64"/>
      <c r="H104" s="64"/>
      <c r="I104" s="55">
        <f t="shared" si="0"/>
        <v>174.51409800164245</v>
      </c>
      <c r="J104" s="55">
        <f>SUMIF('3-Basis ruimtestaat'!J:J,A104,'3-Basis ruimtestaat'!I:I)</f>
        <v>0</v>
      </c>
      <c r="K104" s="66" t="str">
        <f t="shared" si="7"/>
        <v/>
      </c>
      <c r="L104" s="68"/>
      <c r="M104" s="57" t="s">
        <v>136</v>
      </c>
      <c r="N104" s="69"/>
      <c r="O104" s="84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7" hidden="1" customHeight="1">
      <c r="A105" s="512">
        <v>6052</v>
      </c>
      <c r="B105" s="72">
        <v>52</v>
      </c>
      <c r="C105" s="116" t="s">
        <v>142</v>
      </c>
      <c r="D105" s="63" t="s">
        <v>111</v>
      </c>
      <c r="E105" s="64">
        <f>E117/255*B105*1.4</f>
        <v>0.32089098039215685</v>
      </c>
      <c r="F105" s="64"/>
      <c r="G105" s="64"/>
      <c r="H105" s="64"/>
      <c r="I105" s="55">
        <f t="shared" si="0"/>
        <v>162.04880528723945</v>
      </c>
      <c r="J105" s="55">
        <f>SUMIF('3-Basis ruimtestaat'!J:J,A105,'3-Basis ruimtestaat'!I:I)</f>
        <v>0</v>
      </c>
      <c r="K105" s="66" t="str">
        <f t="shared" si="7"/>
        <v/>
      </c>
      <c r="L105" s="68"/>
      <c r="M105" s="57" t="s">
        <v>136</v>
      </c>
      <c r="N105" s="69"/>
      <c r="O105" s="71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ht="17" hidden="1" customHeight="1">
      <c r="A106" s="512">
        <v>6080</v>
      </c>
      <c r="B106" s="72">
        <v>80</v>
      </c>
      <c r="C106" s="116" t="s">
        <v>142</v>
      </c>
      <c r="D106" s="63" t="s">
        <v>112</v>
      </c>
      <c r="E106" s="64">
        <f>E117/255*B106*1.2</f>
        <v>0.42315294117647068</v>
      </c>
      <c r="F106" s="64"/>
      <c r="G106" s="64"/>
      <c r="H106" s="64"/>
      <c r="I106" s="55">
        <f t="shared" si="0"/>
        <v>189.05693950177931</v>
      </c>
      <c r="J106" s="55">
        <f>SUMIF('3-Basis ruimtestaat'!J:J,A106,'3-Basis ruimtestaat'!I:I)</f>
        <v>0</v>
      </c>
      <c r="K106" s="66" t="str">
        <f t="shared" si="7"/>
        <v/>
      </c>
      <c r="L106" s="68"/>
      <c r="M106" s="57" t="s">
        <v>136</v>
      </c>
      <c r="N106" s="69"/>
      <c r="O106" s="84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ht="17" hidden="1" customHeight="1">
      <c r="A107" s="512">
        <v>6104</v>
      </c>
      <c r="B107" s="72">
        <v>104</v>
      </c>
      <c r="C107" s="116" t="s">
        <v>142</v>
      </c>
      <c r="D107" s="63" t="s">
        <v>113</v>
      </c>
      <c r="E107" s="64">
        <f>E117/255*B107*1.2</f>
        <v>0.55009882352941175</v>
      </c>
      <c r="F107" s="64"/>
      <c r="G107" s="64"/>
      <c r="H107" s="64"/>
      <c r="I107" s="55">
        <f t="shared" si="0"/>
        <v>189.05693950177937</v>
      </c>
      <c r="J107" s="55">
        <f>SUMIF('3-Basis ruimtestaat'!J:J,A107,'3-Basis ruimtestaat'!I:I)</f>
        <v>0</v>
      </c>
      <c r="K107" s="66" t="str">
        <f t="shared" si="7"/>
        <v/>
      </c>
      <c r="L107" s="68"/>
      <c r="M107" s="57" t="s">
        <v>136</v>
      </c>
      <c r="N107" s="69"/>
      <c r="O107" s="71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7" hidden="1" customHeight="1">
      <c r="A108" s="512">
        <v>6120</v>
      </c>
      <c r="B108" s="72">
        <v>120</v>
      </c>
      <c r="C108" s="116" t="s">
        <v>142</v>
      </c>
      <c r="D108" s="63" t="s">
        <v>114</v>
      </c>
      <c r="E108" s="64">
        <f>E117/255*B108*1.2</f>
        <v>0.63472941176470599</v>
      </c>
      <c r="F108" s="64"/>
      <c r="G108" s="64"/>
      <c r="H108" s="64"/>
      <c r="I108" s="55">
        <f t="shared" si="0"/>
        <v>189.05693950177934</v>
      </c>
      <c r="J108" s="55">
        <f>SUMIF('3-Basis ruimtestaat'!J:J,A108,'3-Basis ruimtestaat'!I:I)</f>
        <v>0</v>
      </c>
      <c r="K108" s="66" t="str">
        <f t="shared" si="7"/>
        <v/>
      </c>
      <c r="L108" s="68"/>
      <c r="M108" s="57" t="s">
        <v>136</v>
      </c>
      <c r="N108" s="69"/>
      <c r="O108" s="71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ht="17" hidden="1" customHeight="1">
      <c r="A109" s="512">
        <v>6130</v>
      </c>
      <c r="B109" s="72">
        <v>130</v>
      </c>
      <c r="C109" s="116" t="s">
        <v>142</v>
      </c>
      <c r="D109" s="63" t="s">
        <v>115</v>
      </c>
      <c r="E109" s="64">
        <f>E117/255*B109*1.1</f>
        <v>0.63032156862745115</v>
      </c>
      <c r="F109" s="64"/>
      <c r="G109" s="64"/>
      <c r="H109" s="64"/>
      <c r="I109" s="55">
        <f t="shared" si="0"/>
        <v>206.24393400194106</v>
      </c>
      <c r="J109" s="55">
        <f>SUMIF('3-Basis ruimtestaat'!J:J,A109,'3-Basis ruimtestaat'!I:I)</f>
        <v>0</v>
      </c>
      <c r="K109" s="66" t="str">
        <f t="shared" si="7"/>
        <v/>
      </c>
      <c r="L109" s="68"/>
      <c r="M109" s="57" t="s">
        <v>136</v>
      </c>
      <c r="N109" s="69"/>
      <c r="O109" s="84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ht="17" customHeight="1">
      <c r="A110" s="512">
        <v>6156</v>
      </c>
      <c r="B110" s="72">
        <v>156</v>
      </c>
      <c r="C110" s="116" t="s">
        <v>142</v>
      </c>
      <c r="D110" s="63" t="s">
        <v>117</v>
      </c>
      <c r="E110" s="64">
        <f>E117/255*B110*1.1</f>
        <v>0.75638588235294135</v>
      </c>
      <c r="F110" s="64"/>
      <c r="G110" s="64"/>
      <c r="H110" s="64"/>
      <c r="I110" s="55">
        <f t="shared" si="0"/>
        <v>206.24393400194108</v>
      </c>
      <c r="J110" s="55">
        <f>SUMIF('3-Basis ruimtestaat'!J:J,A110,'3-Basis ruimtestaat'!I:I)</f>
        <v>15.3</v>
      </c>
      <c r="K110" s="66">
        <f t="shared" si="7"/>
        <v>1.1456285584683142E-3</v>
      </c>
      <c r="L110" s="68"/>
      <c r="M110" s="57" t="s">
        <v>136</v>
      </c>
      <c r="N110" s="69"/>
      <c r="O110" s="71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17" hidden="1" customHeight="1">
      <c r="A111" s="512">
        <v>6160</v>
      </c>
      <c r="B111" s="72">
        <v>160</v>
      </c>
      <c r="C111" s="116" t="s">
        <v>142</v>
      </c>
      <c r="D111" s="63" t="s">
        <v>118</v>
      </c>
      <c r="E111" s="64">
        <f>E117/255*B111</f>
        <v>0.70525490196078444</v>
      </c>
      <c r="F111" s="64"/>
      <c r="G111" s="64"/>
      <c r="H111" s="64"/>
      <c r="I111" s="55">
        <f t="shared" si="0"/>
        <v>226.86832740213518</v>
      </c>
      <c r="J111" s="55">
        <f>SUMIF('3-Basis ruimtestaat'!J:J,A111,'3-Basis ruimtestaat'!I:I)</f>
        <v>0</v>
      </c>
      <c r="K111" s="66" t="str">
        <f t="shared" si="7"/>
        <v/>
      </c>
      <c r="L111" s="68"/>
      <c r="M111" s="57" t="s">
        <v>136</v>
      </c>
      <c r="N111" s="69"/>
      <c r="O111" s="71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17" hidden="1" customHeight="1">
      <c r="A112" s="512">
        <v>6200</v>
      </c>
      <c r="B112" s="72">
        <v>200</v>
      </c>
      <c r="C112" s="116" t="s">
        <v>142</v>
      </c>
      <c r="D112" s="63" t="s">
        <v>119</v>
      </c>
      <c r="E112" s="64">
        <f>E117/255*B112</f>
        <v>0.88156862745098052</v>
      </c>
      <c r="F112" s="64"/>
      <c r="G112" s="64"/>
      <c r="H112" s="64"/>
      <c r="I112" s="55">
        <f t="shared" si="0"/>
        <v>226.86832740213521</v>
      </c>
      <c r="J112" s="55">
        <f>SUMIF('3-Basis ruimtestaat'!J:J,A112,'3-Basis ruimtestaat'!I:I)</f>
        <v>0</v>
      </c>
      <c r="K112" s="66" t="str">
        <f t="shared" si="7"/>
        <v/>
      </c>
      <c r="L112" s="68"/>
      <c r="M112" s="57" t="s">
        <v>136</v>
      </c>
      <c r="N112" s="69"/>
      <c r="O112" s="71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spans="1:26" ht="17" hidden="1" customHeight="1">
      <c r="A113" s="512">
        <v>6208</v>
      </c>
      <c r="B113" s="72">
        <v>208</v>
      </c>
      <c r="C113" s="116" t="s">
        <v>142</v>
      </c>
      <c r="D113" s="63" t="s">
        <v>139</v>
      </c>
      <c r="E113" s="64">
        <f>E117/255*B113*1.05</f>
        <v>0.96267294117647073</v>
      </c>
      <c r="F113" s="64"/>
      <c r="G113" s="64"/>
      <c r="H113" s="64"/>
      <c r="I113" s="55">
        <f t="shared" si="0"/>
        <v>216.06507371631923</v>
      </c>
      <c r="J113" s="55">
        <f>SUMIF('3-Basis ruimtestaat'!J:J,A113,'3-Basis ruimtestaat'!I:I)</f>
        <v>0</v>
      </c>
      <c r="K113" s="66" t="str">
        <f t="shared" si="7"/>
        <v/>
      </c>
      <c r="L113" s="68"/>
      <c r="M113" s="57" t="s">
        <v>136</v>
      </c>
      <c r="N113" s="69"/>
      <c r="O113" s="71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spans="1:26" ht="17" hidden="1" customHeight="1">
      <c r="A114" s="512">
        <v>6210</v>
      </c>
      <c r="B114" s="72">
        <v>210</v>
      </c>
      <c r="C114" s="116" t="s">
        <v>142</v>
      </c>
      <c r="D114" s="63" t="s">
        <v>121</v>
      </c>
      <c r="E114" s="64">
        <f>E117/255*B114</f>
        <v>0.92564705882352949</v>
      </c>
      <c r="F114" s="64"/>
      <c r="G114" s="64"/>
      <c r="H114" s="64"/>
      <c r="I114" s="55">
        <f t="shared" si="0"/>
        <v>226.86832740213521</v>
      </c>
      <c r="J114" s="55">
        <f>SUMIF('3-Basis ruimtestaat'!J:J,A114,'3-Basis ruimtestaat'!I:I)</f>
        <v>0</v>
      </c>
      <c r="K114" s="66" t="str">
        <f t="shared" si="7"/>
        <v/>
      </c>
      <c r="L114" s="68"/>
      <c r="M114" s="57" t="s">
        <v>136</v>
      </c>
      <c r="N114" s="69"/>
      <c r="O114" s="71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spans="1:26" ht="17" hidden="1" customHeight="1">
      <c r="A115" s="512">
        <v>6225</v>
      </c>
      <c r="B115" s="72">
        <v>225</v>
      </c>
      <c r="C115" s="116" t="s">
        <v>142</v>
      </c>
      <c r="D115" s="63" t="s">
        <v>140</v>
      </c>
      <c r="E115" s="64">
        <f>E117/255*B115</f>
        <v>0.9917647058823531</v>
      </c>
      <c r="F115" s="64"/>
      <c r="G115" s="64"/>
      <c r="H115" s="64"/>
      <c r="I115" s="55">
        <f t="shared" ref="I115:I116" si="10">IF(E115=0,0,B115/(E115+F115+G115+H115))</f>
        <v>226.86832740213521</v>
      </c>
      <c r="J115" s="55">
        <f>SUMIF('3-Basis ruimtestaat'!J:J,A115,'3-Basis ruimtestaat'!I:I)</f>
        <v>0</v>
      </c>
      <c r="K115" s="66" t="str">
        <f t="shared" si="7"/>
        <v/>
      </c>
      <c r="L115" s="68"/>
      <c r="M115" s="57" t="s">
        <v>136</v>
      </c>
      <c r="N115" s="69"/>
      <c r="O115" s="71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spans="1:26" ht="17" hidden="1" customHeight="1">
      <c r="A116" s="512">
        <v>6245</v>
      </c>
      <c r="B116" s="72">
        <v>245</v>
      </c>
      <c r="C116" s="116" t="s">
        <v>142</v>
      </c>
      <c r="D116" s="63" t="s">
        <v>123</v>
      </c>
      <c r="E116" s="64">
        <f>E117/255*B116</f>
        <v>1.079921568627451</v>
      </c>
      <c r="F116" s="64"/>
      <c r="G116" s="64"/>
      <c r="H116" s="64"/>
      <c r="I116" s="55">
        <f t="shared" si="10"/>
        <v>226.86832740213521</v>
      </c>
      <c r="J116" s="55">
        <f>SUMIF('3-Basis ruimtestaat'!J:J,A116,'3-Basis ruimtestaat'!I:I)</f>
        <v>0</v>
      </c>
      <c r="K116" s="66" t="str">
        <f t="shared" si="7"/>
        <v/>
      </c>
      <c r="L116" s="68"/>
      <c r="M116" s="57" t="s">
        <v>136</v>
      </c>
      <c r="N116" s="69"/>
      <c r="O116" s="84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spans="1:26" ht="17" customHeight="1">
      <c r="A117" s="512">
        <v>6255</v>
      </c>
      <c r="B117" s="72">
        <v>255</v>
      </c>
      <c r="C117" s="116" t="s">
        <v>142</v>
      </c>
      <c r="D117" s="63" t="s">
        <v>124</v>
      </c>
      <c r="E117" s="64">
        <f>O117*$O$9</f>
        <v>1.1240000000000001</v>
      </c>
      <c r="F117" s="64"/>
      <c r="G117" s="64"/>
      <c r="H117" s="64"/>
      <c r="I117" s="55">
        <f t="shared" si="0"/>
        <v>226.86832740213521</v>
      </c>
      <c r="J117" s="55">
        <f>SUMIF('3-Basis ruimtestaat'!J:J,A117,'3-Basis ruimtestaat'!I:I)</f>
        <v>212.86700000000002</v>
      </c>
      <c r="K117" s="66">
        <f t="shared" si="7"/>
        <v>1.5938987866370893E-2</v>
      </c>
      <c r="L117" s="68"/>
      <c r="M117" s="57" t="s">
        <v>136</v>
      </c>
      <c r="N117" s="69"/>
      <c r="O117" s="92">
        <v>1.1240000000000001</v>
      </c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17" hidden="1" customHeight="1" thickBot="1">
      <c r="A118" s="512">
        <v>6365</v>
      </c>
      <c r="B118" s="113">
        <v>365</v>
      </c>
      <c r="C118" s="116" t="s">
        <v>142</v>
      </c>
      <c r="D118" s="63" t="s">
        <v>129</v>
      </c>
      <c r="E118" s="64">
        <f>E117</f>
        <v>1.1240000000000001</v>
      </c>
      <c r="F118" s="64"/>
      <c r="G118" s="64">
        <f>E118/255*104*0.8</f>
        <v>0.36673254901960789</v>
      </c>
      <c r="H118" s="64"/>
      <c r="I118" s="55">
        <f t="shared" si="0"/>
        <v>244.84606594257644</v>
      </c>
      <c r="J118" s="55">
        <f>SUMIF('3-Basis ruimtestaat'!J:J,A118,'3-Basis ruimtestaat'!I:I)</f>
        <v>0</v>
      </c>
      <c r="K118" s="66" t="str">
        <f t="shared" si="7"/>
        <v/>
      </c>
      <c r="L118" s="68"/>
      <c r="M118" s="57" t="s">
        <v>136</v>
      </c>
      <c r="N118" s="69"/>
      <c r="O118" s="84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17" hidden="1" customHeight="1">
      <c r="A119" s="512">
        <v>7010</v>
      </c>
      <c r="B119" s="62">
        <v>10</v>
      </c>
      <c r="C119" s="116" t="s">
        <v>143</v>
      </c>
      <c r="D119" s="63" t="s">
        <v>107</v>
      </c>
      <c r="E119" s="64">
        <f>E134/255*B119*1.5</f>
        <v>4.1823529411764704E-2</v>
      </c>
      <c r="F119" s="64"/>
      <c r="G119" s="64"/>
      <c r="H119" s="64"/>
      <c r="I119" s="55">
        <f t="shared" si="0"/>
        <v>239.09985935302393</v>
      </c>
      <c r="J119" s="55">
        <f>SUMIF('3-Basis ruimtestaat'!J:J,A119,'3-Basis ruimtestaat'!I:I)</f>
        <v>0</v>
      </c>
      <c r="K119" s="66" t="str">
        <f t="shared" si="7"/>
        <v/>
      </c>
      <c r="L119" s="68"/>
      <c r="M119" s="57" t="s">
        <v>136</v>
      </c>
      <c r="N119" s="69"/>
      <c r="O119" s="84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17" hidden="1" customHeight="1">
      <c r="A120" s="512">
        <v>7012</v>
      </c>
      <c r="B120" s="72">
        <v>12</v>
      </c>
      <c r="C120" s="116" t="s">
        <v>143</v>
      </c>
      <c r="D120" s="63" t="s">
        <v>109</v>
      </c>
      <c r="E120" s="64">
        <f>E134/255*B120*1.5</f>
        <v>5.0188235294117645E-2</v>
      </c>
      <c r="F120" s="64"/>
      <c r="G120" s="64"/>
      <c r="H120" s="64"/>
      <c r="I120" s="55">
        <f t="shared" si="0"/>
        <v>239.09985935302393</v>
      </c>
      <c r="J120" s="55">
        <f>SUMIF('3-Basis ruimtestaat'!J:J,A120,'3-Basis ruimtestaat'!I:I)</f>
        <v>0</v>
      </c>
      <c r="K120" s="66" t="str">
        <f t="shared" si="7"/>
        <v/>
      </c>
      <c r="L120" s="68"/>
      <c r="M120" s="57" t="s">
        <v>136</v>
      </c>
      <c r="N120" s="69"/>
      <c r="O120" s="71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17" hidden="1" customHeight="1">
      <c r="A121" s="512">
        <v>7040</v>
      </c>
      <c r="B121" s="72">
        <v>40</v>
      </c>
      <c r="C121" s="116" t="s">
        <v>143</v>
      </c>
      <c r="D121" s="63" t="s">
        <v>137</v>
      </c>
      <c r="E121" s="64">
        <f>E134/255*B121*1.3</f>
        <v>0.14498823529411764</v>
      </c>
      <c r="F121" s="64"/>
      <c r="G121" s="64"/>
      <c r="H121" s="64"/>
      <c r="I121" s="55">
        <f t="shared" si="0"/>
        <v>275.884453099643</v>
      </c>
      <c r="J121" s="55">
        <f>SUMIF('3-Basis ruimtestaat'!J:J,A121,'3-Basis ruimtestaat'!I:I)</f>
        <v>0</v>
      </c>
      <c r="K121" s="66" t="str">
        <f t="shared" si="7"/>
        <v/>
      </c>
      <c r="L121" s="68"/>
      <c r="M121" s="57" t="s">
        <v>136</v>
      </c>
      <c r="N121" s="69"/>
      <c r="O121" s="84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17" hidden="1" customHeight="1">
      <c r="A122" s="512">
        <v>7052</v>
      </c>
      <c r="B122" s="72">
        <v>52</v>
      </c>
      <c r="C122" s="116" t="s">
        <v>143</v>
      </c>
      <c r="D122" s="63" t="s">
        <v>111</v>
      </c>
      <c r="E122" s="64">
        <f>E134/255*B122*1.4</f>
        <v>0.20298352941176467</v>
      </c>
      <c r="F122" s="64"/>
      <c r="G122" s="64"/>
      <c r="H122" s="64"/>
      <c r="I122" s="55">
        <f t="shared" si="0"/>
        <v>256.17842073538282</v>
      </c>
      <c r="J122" s="55">
        <f>SUMIF('3-Basis ruimtestaat'!J:J,A122,'3-Basis ruimtestaat'!I:I)</f>
        <v>0</v>
      </c>
      <c r="K122" s="66" t="str">
        <f t="shared" si="7"/>
        <v/>
      </c>
      <c r="L122" s="68"/>
      <c r="M122" s="57" t="s">
        <v>136</v>
      </c>
      <c r="N122" s="69"/>
      <c r="O122" s="84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17" hidden="1" customHeight="1">
      <c r="A123" s="512">
        <v>7080</v>
      </c>
      <c r="B123" s="72">
        <v>80</v>
      </c>
      <c r="C123" s="116" t="s">
        <v>143</v>
      </c>
      <c r="D123" s="63" t="s">
        <v>112</v>
      </c>
      <c r="E123" s="64">
        <f>E134/255*B123*1.2</f>
        <v>0.2676705882352941</v>
      </c>
      <c r="F123" s="64"/>
      <c r="G123" s="64"/>
      <c r="H123" s="64"/>
      <c r="I123" s="55">
        <f t="shared" si="0"/>
        <v>298.87482419127991</v>
      </c>
      <c r="J123" s="55">
        <f>SUMIF('3-Basis ruimtestaat'!J:J,A123,'3-Basis ruimtestaat'!I:I)</f>
        <v>0</v>
      </c>
      <c r="K123" s="66" t="str">
        <f t="shared" si="7"/>
        <v/>
      </c>
      <c r="L123" s="68"/>
      <c r="M123" s="57" t="s">
        <v>136</v>
      </c>
      <c r="N123" s="69"/>
      <c r="O123" s="71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17" hidden="1" customHeight="1">
      <c r="A124" s="512">
        <v>7104</v>
      </c>
      <c r="B124" s="72">
        <v>104</v>
      </c>
      <c r="C124" s="116" t="s">
        <v>143</v>
      </c>
      <c r="D124" s="63" t="s">
        <v>113</v>
      </c>
      <c r="E124" s="64">
        <f>E134/255*B124*1.2</f>
        <v>0.34797176470588231</v>
      </c>
      <c r="F124" s="64"/>
      <c r="G124" s="64"/>
      <c r="H124" s="64"/>
      <c r="I124" s="55">
        <f t="shared" si="0"/>
        <v>298.87482419127991</v>
      </c>
      <c r="J124" s="55">
        <f>SUMIF('3-Basis ruimtestaat'!J:J,A124,'3-Basis ruimtestaat'!I:I)</f>
        <v>0</v>
      </c>
      <c r="K124" s="66" t="str">
        <f t="shared" si="7"/>
        <v/>
      </c>
      <c r="L124" s="68"/>
      <c r="M124" s="57" t="s">
        <v>136</v>
      </c>
      <c r="N124" s="69"/>
      <c r="O124" s="71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7" hidden="1" customHeight="1">
      <c r="A125" s="512">
        <v>7120</v>
      </c>
      <c r="B125" s="72">
        <v>120</v>
      </c>
      <c r="C125" s="116" t="s">
        <v>143</v>
      </c>
      <c r="D125" s="63" t="s">
        <v>114</v>
      </c>
      <c r="E125" s="64">
        <f>E134/255*B125*1.2</f>
        <v>0.40150588235294116</v>
      </c>
      <c r="F125" s="64"/>
      <c r="G125" s="64"/>
      <c r="H125" s="64"/>
      <c r="I125" s="55">
        <f t="shared" si="0"/>
        <v>298.87482419127991</v>
      </c>
      <c r="J125" s="55">
        <f>SUMIF('3-Basis ruimtestaat'!J:J,A125,'3-Basis ruimtestaat'!I:I)</f>
        <v>0</v>
      </c>
      <c r="K125" s="66" t="str">
        <f t="shared" si="7"/>
        <v/>
      </c>
      <c r="L125" s="68"/>
      <c r="M125" s="57" t="s">
        <v>136</v>
      </c>
      <c r="N125" s="69"/>
      <c r="O125" s="71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17" hidden="1" customHeight="1">
      <c r="A126" s="512">
        <v>7130</v>
      </c>
      <c r="B126" s="72">
        <v>130</v>
      </c>
      <c r="C126" s="116" t="s">
        <v>143</v>
      </c>
      <c r="D126" s="63" t="s">
        <v>115</v>
      </c>
      <c r="E126" s="64">
        <f>E134/255*B126*1.1</f>
        <v>0.39871764705882357</v>
      </c>
      <c r="F126" s="64"/>
      <c r="G126" s="64"/>
      <c r="H126" s="64"/>
      <c r="I126" s="55">
        <f t="shared" si="0"/>
        <v>326.04526275412348</v>
      </c>
      <c r="J126" s="55">
        <f>SUMIF('3-Basis ruimtestaat'!J:J,A126,'3-Basis ruimtestaat'!I:I)</f>
        <v>0</v>
      </c>
      <c r="K126" s="66" t="str">
        <f t="shared" si="7"/>
        <v/>
      </c>
      <c r="L126" s="68"/>
      <c r="M126" s="57" t="s">
        <v>136</v>
      </c>
      <c r="N126" s="69"/>
      <c r="O126" s="71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17" hidden="1" customHeight="1">
      <c r="A127" s="512">
        <v>7156</v>
      </c>
      <c r="B127" s="72">
        <v>156</v>
      </c>
      <c r="C127" s="116" t="s">
        <v>143</v>
      </c>
      <c r="D127" s="63" t="s">
        <v>117</v>
      </c>
      <c r="E127" s="64">
        <f>E134/255*B127*1.1</f>
        <v>0.47846117647058822</v>
      </c>
      <c r="F127" s="64"/>
      <c r="G127" s="64"/>
      <c r="H127" s="64"/>
      <c r="I127" s="55">
        <f t="shared" si="0"/>
        <v>326.04526275412354</v>
      </c>
      <c r="J127" s="55">
        <f>SUMIF('3-Basis ruimtestaat'!J:J,A127,'3-Basis ruimtestaat'!I:I)</f>
        <v>0</v>
      </c>
      <c r="K127" s="66" t="str">
        <f t="shared" si="7"/>
        <v/>
      </c>
      <c r="L127" s="68"/>
      <c r="M127" s="57" t="s">
        <v>136</v>
      </c>
      <c r="N127" s="69"/>
      <c r="O127" s="84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17" hidden="1" customHeight="1">
      <c r="A128" s="512">
        <v>7160</v>
      </c>
      <c r="B128" s="72">
        <v>160</v>
      </c>
      <c r="C128" s="116" t="s">
        <v>143</v>
      </c>
      <c r="D128" s="63" t="s">
        <v>118</v>
      </c>
      <c r="E128" s="64">
        <f>E134/255*B128</f>
        <v>0.44611764705882351</v>
      </c>
      <c r="F128" s="64"/>
      <c r="G128" s="64"/>
      <c r="H128" s="64"/>
      <c r="I128" s="55">
        <f t="shared" si="0"/>
        <v>358.6497890295359</v>
      </c>
      <c r="J128" s="55">
        <f>SUMIF('3-Basis ruimtestaat'!J:J,A128,'3-Basis ruimtestaat'!I:I)</f>
        <v>0</v>
      </c>
      <c r="K128" s="66" t="str">
        <f t="shared" si="7"/>
        <v/>
      </c>
      <c r="L128" s="68"/>
      <c r="M128" s="57" t="s">
        <v>136</v>
      </c>
      <c r="N128" s="69"/>
      <c r="O128" s="84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17" hidden="1" customHeight="1">
      <c r="A129" s="512">
        <v>7200</v>
      </c>
      <c r="B129" s="72">
        <v>200</v>
      </c>
      <c r="C129" s="116" t="s">
        <v>143</v>
      </c>
      <c r="D129" s="63" t="s">
        <v>119</v>
      </c>
      <c r="E129" s="64">
        <f>E134/255*B129</f>
        <v>0.55764705882352938</v>
      </c>
      <c r="F129" s="64"/>
      <c r="G129" s="64"/>
      <c r="H129" s="64"/>
      <c r="I129" s="55">
        <f t="shared" si="0"/>
        <v>358.6497890295359</v>
      </c>
      <c r="J129" s="55">
        <f>SUMIF('3-Basis ruimtestaat'!J:J,A129,'3-Basis ruimtestaat'!I:I)</f>
        <v>0</v>
      </c>
      <c r="K129" s="66" t="str">
        <f t="shared" si="7"/>
        <v/>
      </c>
      <c r="L129" s="68"/>
      <c r="M129" s="57" t="s">
        <v>136</v>
      </c>
      <c r="N129" s="69"/>
      <c r="O129" s="84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17" hidden="1" customHeight="1">
      <c r="A130" s="512">
        <v>7208</v>
      </c>
      <c r="B130" s="72">
        <v>208</v>
      </c>
      <c r="C130" s="116" t="s">
        <v>143</v>
      </c>
      <c r="D130" s="63" t="s">
        <v>139</v>
      </c>
      <c r="E130" s="64">
        <f>E134/255*B130*1.05</f>
        <v>0.60895058823529413</v>
      </c>
      <c r="F130" s="64"/>
      <c r="G130" s="64"/>
      <c r="H130" s="64"/>
      <c r="I130" s="55">
        <f t="shared" si="0"/>
        <v>341.57122764717701</v>
      </c>
      <c r="J130" s="55">
        <f>SUMIF('3-Basis ruimtestaat'!J:J,A130,'3-Basis ruimtestaat'!I:I)</f>
        <v>0</v>
      </c>
      <c r="K130" s="66" t="str">
        <f t="shared" si="7"/>
        <v/>
      </c>
      <c r="L130" s="68"/>
      <c r="M130" s="57" t="s">
        <v>136</v>
      </c>
      <c r="N130" s="69"/>
      <c r="O130" s="84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17" hidden="1" customHeight="1">
      <c r="A131" s="512">
        <v>7210</v>
      </c>
      <c r="B131" s="72">
        <v>210</v>
      </c>
      <c r="C131" s="116" t="s">
        <v>143</v>
      </c>
      <c r="D131" s="63" t="s">
        <v>121</v>
      </c>
      <c r="E131" s="64">
        <f>E134/255*B131</f>
        <v>0.58552941176470585</v>
      </c>
      <c r="F131" s="64"/>
      <c r="G131" s="64"/>
      <c r="H131" s="64"/>
      <c r="I131" s="55">
        <f t="shared" si="0"/>
        <v>358.6497890295359</v>
      </c>
      <c r="J131" s="55">
        <f>SUMIF('3-Basis ruimtestaat'!J:J,A131,'3-Basis ruimtestaat'!I:I)</f>
        <v>0</v>
      </c>
      <c r="K131" s="66" t="str">
        <f t="shared" si="7"/>
        <v/>
      </c>
      <c r="L131" s="68"/>
      <c r="M131" s="57" t="s">
        <v>136</v>
      </c>
      <c r="N131" s="69"/>
      <c r="O131" s="84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17" hidden="1" customHeight="1">
      <c r="A132" s="512">
        <v>7225</v>
      </c>
      <c r="B132" s="72">
        <v>225</v>
      </c>
      <c r="C132" s="116" t="s">
        <v>143</v>
      </c>
      <c r="D132" s="63" t="s">
        <v>140</v>
      </c>
      <c r="E132" s="64">
        <f>E134/255*B132</f>
        <v>0.62735294117647056</v>
      </c>
      <c r="F132" s="64"/>
      <c r="G132" s="64"/>
      <c r="H132" s="64"/>
      <c r="I132" s="55">
        <f t="shared" ref="I132:I133" si="11">IF(E132=0,0,B132/(E132+F132+G132+H132))</f>
        <v>358.6497890295359</v>
      </c>
      <c r="J132" s="55">
        <f>SUMIF('3-Basis ruimtestaat'!J:J,A132,'3-Basis ruimtestaat'!I:I)</f>
        <v>0</v>
      </c>
      <c r="K132" s="66" t="str">
        <f t="shared" si="7"/>
        <v/>
      </c>
      <c r="L132" s="68"/>
      <c r="M132" s="57" t="s">
        <v>136</v>
      </c>
      <c r="N132" s="69"/>
      <c r="O132" s="84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17" hidden="1" customHeight="1">
      <c r="A133" s="512">
        <v>7245</v>
      </c>
      <c r="B133" s="72">
        <v>245</v>
      </c>
      <c r="C133" s="116" t="s">
        <v>143</v>
      </c>
      <c r="D133" s="63" t="s">
        <v>123</v>
      </c>
      <c r="E133" s="64">
        <f>E134/255*B133</f>
        <v>0.6831176470588235</v>
      </c>
      <c r="F133" s="117"/>
      <c r="G133" s="117"/>
      <c r="H133" s="64"/>
      <c r="I133" s="55">
        <f t="shared" si="11"/>
        <v>358.6497890295359</v>
      </c>
      <c r="J133" s="55">
        <f>SUMIF('3-Basis ruimtestaat'!J:J,A133,'3-Basis ruimtestaat'!I:I)</f>
        <v>0</v>
      </c>
      <c r="K133" s="66" t="str">
        <f t="shared" si="7"/>
        <v/>
      </c>
      <c r="L133" s="68"/>
      <c r="M133" s="57" t="s">
        <v>136</v>
      </c>
      <c r="N133" s="69"/>
      <c r="O133" s="84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17" hidden="1" customHeight="1">
      <c r="A134" s="512">
        <v>7255</v>
      </c>
      <c r="B134" s="72">
        <v>255</v>
      </c>
      <c r="C134" s="116" t="s">
        <v>143</v>
      </c>
      <c r="D134" s="63" t="s">
        <v>124</v>
      </c>
      <c r="E134" s="64">
        <f>O134*$O$9</f>
        <v>0.71099999999999997</v>
      </c>
      <c r="F134" s="117"/>
      <c r="G134" s="117"/>
      <c r="H134" s="64"/>
      <c r="I134" s="55">
        <f t="shared" si="0"/>
        <v>358.6497890295359</v>
      </c>
      <c r="J134" s="55">
        <f>SUMIF('3-Basis ruimtestaat'!J:J,A134,'3-Basis ruimtestaat'!I:I)</f>
        <v>0</v>
      </c>
      <c r="K134" s="66" t="str">
        <f t="shared" si="7"/>
        <v/>
      </c>
      <c r="L134" s="68"/>
      <c r="M134" s="57" t="s">
        <v>136</v>
      </c>
      <c r="N134" s="69"/>
      <c r="O134" s="92">
        <v>0.71099999999999997</v>
      </c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17" hidden="1" customHeight="1" thickBot="1">
      <c r="A135" s="512">
        <v>7365</v>
      </c>
      <c r="B135" s="113">
        <v>365</v>
      </c>
      <c r="C135" s="116" t="s">
        <v>143</v>
      </c>
      <c r="D135" s="63" t="s">
        <v>129</v>
      </c>
      <c r="E135" s="64">
        <f>E134</f>
        <v>0.71099999999999997</v>
      </c>
      <c r="F135" s="64"/>
      <c r="G135" s="64">
        <f>E135/255*104*0.8</f>
        <v>0.23198117647058825</v>
      </c>
      <c r="H135" s="64"/>
      <c r="I135" s="55">
        <f t="shared" si="0"/>
        <v>387.07029271372147</v>
      </c>
      <c r="J135" s="55">
        <f>SUMIF('3-Basis ruimtestaat'!J:J,A135,'3-Basis ruimtestaat'!I:I)</f>
        <v>0</v>
      </c>
      <c r="K135" s="66" t="str">
        <f t="shared" si="7"/>
        <v/>
      </c>
      <c r="L135" s="68"/>
      <c r="M135" s="57" t="s">
        <v>136</v>
      </c>
      <c r="N135" s="69"/>
      <c r="O135" s="71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17" hidden="1" customHeight="1">
      <c r="A136" s="512">
        <v>8010</v>
      </c>
      <c r="B136" s="62">
        <v>10</v>
      </c>
      <c r="C136" s="115" t="s">
        <v>144</v>
      </c>
      <c r="D136" s="63" t="s">
        <v>107</v>
      </c>
      <c r="E136" s="64">
        <f>E151/255*B136*1.5</f>
        <v>0.11764705882352941</v>
      </c>
      <c r="F136" s="64"/>
      <c r="G136" s="64"/>
      <c r="H136" s="64"/>
      <c r="I136" s="55">
        <f t="shared" si="0"/>
        <v>85</v>
      </c>
      <c r="J136" s="55">
        <f>SUMIF('3-Basis ruimtestaat'!J:J,A136,'3-Basis ruimtestaat'!I:I)</f>
        <v>0</v>
      </c>
      <c r="K136" s="66" t="str">
        <f t="shared" si="7"/>
        <v/>
      </c>
      <c r="L136" s="68"/>
      <c r="M136" s="57" t="s">
        <v>136</v>
      </c>
      <c r="N136" s="69"/>
      <c r="O136" s="84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17" hidden="1" customHeight="1">
      <c r="A137" s="512">
        <v>8012</v>
      </c>
      <c r="B137" s="72">
        <v>12</v>
      </c>
      <c r="C137" s="115" t="s">
        <v>144</v>
      </c>
      <c r="D137" s="63" t="s">
        <v>109</v>
      </c>
      <c r="E137" s="64">
        <f>E151/255*B137*1.5</f>
        <v>0.14117647058823529</v>
      </c>
      <c r="F137" s="64"/>
      <c r="G137" s="64"/>
      <c r="H137" s="64"/>
      <c r="I137" s="55">
        <f t="shared" si="0"/>
        <v>85</v>
      </c>
      <c r="J137" s="55">
        <f>SUMIF('3-Basis ruimtestaat'!J:J,A137,'3-Basis ruimtestaat'!I:I)</f>
        <v>0</v>
      </c>
      <c r="K137" s="66" t="str">
        <f t="shared" si="7"/>
        <v/>
      </c>
      <c r="L137" s="68"/>
      <c r="M137" s="57" t="s">
        <v>136</v>
      </c>
      <c r="N137" s="69"/>
      <c r="O137" s="71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17" hidden="1" customHeight="1">
      <c r="A138" s="512">
        <v>8040</v>
      </c>
      <c r="B138" s="72">
        <v>40</v>
      </c>
      <c r="C138" s="115" t="s">
        <v>144</v>
      </c>
      <c r="D138" s="63" t="s">
        <v>137</v>
      </c>
      <c r="E138" s="64">
        <f>E151/255*B138*1.3</f>
        <v>0.40784313725490196</v>
      </c>
      <c r="F138" s="64"/>
      <c r="G138" s="64"/>
      <c r="H138" s="64"/>
      <c r="I138" s="55">
        <f t="shared" si="0"/>
        <v>98.07692307692308</v>
      </c>
      <c r="J138" s="55">
        <f>SUMIF('3-Basis ruimtestaat'!J:J,A138,'3-Basis ruimtestaat'!I:I)</f>
        <v>0</v>
      </c>
      <c r="K138" s="66" t="str">
        <f t="shared" ref="K138:K201" si="12">IF(J138=0,"",J138/$J$482)</f>
        <v/>
      </c>
      <c r="L138" s="68"/>
      <c r="M138" s="57" t="s">
        <v>136</v>
      </c>
      <c r="N138" s="69"/>
      <c r="O138" s="84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17" customHeight="1">
      <c r="A139" s="512">
        <v>8052</v>
      </c>
      <c r="B139" s="72">
        <v>52</v>
      </c>
      <c r="C139" s="115" t="s">
        <v>144</v>
      </c>
      <c r="D139" s="63" t="s">
        <v>111</v>
      </c>
      <c r="E139" s="64">
        <f>E151/255*B139*1.4</f>
        <v>0.57098039215686269</v>
      </c>
      <c r="F139" s="64"/>
      <c r="G139" s="64"/>
      <c r="H139" s="64"/>
      <c r="I139" s="55">
        <f t="shared" si="0"/>
        <v>91.071428571428584</v>
      </c>
      <c r="J139" s="55">
        <f>SUMIF('3-Basis ruimtestaat'!J:J,A139,'3-Basis ruimtestaat'!I:I)</f>
        <v>10.3</v>
      </c>
      <c r="K139" s="66">
        <f t="shared" si="12"/>
        <v>7.7124014066821164E-4</v>
      </c>
      <c r="L139" s="68"/>
      <c r="M139" s="57" t="s">
        <v>136</v>
      </c>
      <c r="N139" s="69"/>
      <c r="O139" s="71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17" hidden="1" customHeight="1">
      <c r="A140" s="512">
        <v>8080</v>
      </c>
      <c r="B140" s="72">
        <v>80</v>
      </c>
      <c r="C140" s="115" t="s">
        <v>144</v>
      </c>
      <c r="D140" s="63" t="s">
        <v>112</v>
      </c>
      <c r="E140" s="64">
        <f>E151/255*B140*1.2</f>
        <v>0.75294117647058822</v>
      </c>
      <c r="F140" s="64"/>
      <c r="G140" s="64"/>
      <c r="H140" s="64"/>
      <c r="I140" s="55">
        <f t="shared" si="0"/>
        <v>106.25</v>
      </c>
      <c r="J140" s="55">
        <f>SUMIF('3-Basis ruimtestaat'!J:J,A140,'3-Basis ruimtestaat'!I:I)</f>
        <v>0</v>
      </c>
      <c r="K140" s="66" t="str">
        <f t="shared" si="12"/>
        <v/>
      </c>
      <c r="L140" s="68"/>
      <c r="M140" s="57" t="s">
        <v>136</v>
      </c>
      <c r="N140" s="69"/>
      <c r="O140" s="71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17" hidden="1" customHeight="1">
      <c r="A141" s="512">
        <v>8104</v>
      </c>
      <c r="B141" s="72">
        <v>104</v>
      </c>
      <c r="C141" s="115" t="s">
        <v>144</v>
      </c>
      <c r="D141" s="63" t="s">
        <v>113</v>
      </c>
      <c r="E141" s="64">
        <f>E151/255*B141*1.2</f>
        <v>0.97882352941176465</v>
      </c>
      <c r="F141" s="64"/>
      <c r="G141" s="64"/>
      <c r="H141" s="64"/>
      <c r="I141" s="55">
        <f t="shared" si="0"/>
        <v>106.25</v>
      </c>
      <c r="J141" s="55">
        <f>SUMIF('3-Basis ruimtestaat'!J:J,A141,'3-Basis ruimtestaat'!I:I)</f>
        <v>0</v>
      </c>
      <c r="K141" s="66" t="str">
        <f t="shared" si="12"/>
        <v/>
      </c>
      <c r="L141" s="68"/>
      <c r="M141" s="57" t="s">
        <v>136</v>
      </c>
      <c r="N141" s="69"/>
      <c r="O141" s="84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17" hidden="1" customHeight="1">
      <c r="A142" s="512">
        <v>8120</v>
      </c>
      <c r="B142" s="72">
        <v>120</v>
      </c>
      <c r="C142" s="115" t="s">
        <v>144</v>
      </c>
      <c r="D142" s="63" t="s">
        <v>114</v>
      </c>
      <c r="E142" s="64">
        <f>E151/255*B142*1.2</f>
        <v>1.1294117647058823</v>
      </c>
      <c r="F142" s="64"/>
      <c r="G142" s="64"/>
      <c r="H142" s="64"/>
      <c r="I142" s="55">
        <f t="shared" si="0"/>
        <v>106.25</v>
      </c>
      <c r="J142" s="55">
        <f>SUMIF('3-Basis ruimtestaat'!J:J,A142,'3-Basis ruimtestaat'!I:I)</f>
        <v>0</v>
      </c>
      <c r="K142" s="66" t="str">
        <f t="shared" si="12"/>
        <v/>
      </c>
      <c r="L142" s="68"/>
      <c r="M142" s="57" t="s">
        <v>136</v>
      </c>
      <c r="N142" s="69"/>
      <c r="O142" s="71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17" hidden="1" customHeight="1">
      <c r="A143" s="512">
        <v>8130</v>
      </c>
      <c r="B143" s="72">
        <v>130</v>
      </c>
      <c r="C143" s="115" t="s">
        <v>144</v>
      </c>
      <c r="D143" s="63" t="s">
        <v>115</v>
      </c>
      <c r="E143" s="64">
        <f>E151/255*B143*1.1</f>
        <v>1.1215686274509804</v>
      </c>
      <c r="F143" s="64"/>
      <c r="G143" s="64"/>
      <c r="H143" s="64"/>
      <c r="I143" s="55">
        <f t="shared" si="0"/>
        <v>115.90909090909091</v>
      </c>
      <c r="J143" s="55">
        <f>SUMIF('3-Basis ruimtestaat'!J:J,A143,'3-Basis ruimtestaat'!I:I)</f>
        <v>0</v>
      </c>
      <c r="K143" s="66" t="str">
        <f t="shared" si="12"/>
        <v/>
      </c>
      <c r="L143" s="68"/>
      <c r="M143" s="57" t="s">
        <v>136</v>
      </c>
      <c r="N143" s="69"/>
      <c r="O143" s="71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17" hidden="1" customHeight="1">
      <c r="A144" s="512">
        <v>8156</v>
      </c>
      <c r="B144" s="72">
        <v>156</v>
      </c>
      <c r="C144" s="115" t="s">
        <v>144</v>
      </c>
      <c r="D144" s="63" t="s">
        <v>117</v>
      </c>
      <c r="E144" s="64">
        <f>E151/255*B144*1.1</f>
        <v>1.3458823529411768</v>
      </c>
      <c r="F144" s="64"/>
      <c r="G144" s="64"/>
      <c r="H144" s="64"/>
      <c r="I144" s="55">
        <f t="shared" si="0"/>
        <v>115.90909090909088</v>
      </c>
      <c r="J144" s="55">
        <f>SUMIF('3-Basis ruimtestaat'!J:J,A144,'3-Basis ruimtestaat'!I:I)</f>
        <v>0</v>
      </c>
      <c r="K144" s="66" t="str">
        <f t="shared" si="12"/>
        <v/>
      </c>
      <c r="L144" s="68"/>
      <c r="M144" s="57" t="s">
        <v>136</v>
      </c>
      <c r="N144" s="69"/>
      <c r="O144" s="71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17" hidden="1" customHeight="1">
      <c r="A145" s="512">
        <v>8160</v>
      </c>
      <c r="B145" s="72">
        <v>160</v>
      </c>
      <c r="C145" s="115" t="s">
        <v>144</v>
      </c>
      <c r="D145" s="63" t="s">
        <v>118</v>
      </c>
      <c r="E145" s="64">
        <f>E151/255*B145</f>
        <v>1.2549019607843137</v>
      </c>
      <c r="F145" s="64"/>
      <c r="G145" s="64"/>
      <c r="H145" s="64"/>
      <c r="I145" s="55">
        <f t="shared" si="0"/>
        <v>127.5</v>
      </c>
      <c r="J145" s="55">
        <f>SUMIF('3-Basis ruimtestaat'!J:J,A145,'3-Basis ruimtestaat'!I:I)</f>
        <v>0</v>
      </c>
      <c r="K145" s="66" t="str">
        <f t="shared" si="12"/>
        <v/>
      </c>
      <c r="L145" s="68"/>
      <c r="M145" s="57" t="s">
        <v>136</v>
      </c>
      <c r="N145" s="69"/>
      <c r="O145" s="71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17" hidden="1" customHeight="1">
      <c r="A146" s="512">
        <v>8200</v>
      </c>
      <c r="B146" s="72">
        <v>200</v>
      </c>
      <c r="C146" s="115" t="s">
        <v>144</v>
      </c>
      <c r="D146" s="63" t="s">
        <v>119</v>
      </c>
      <c r="E146" s="64">
        <f>E151/255*B146</f>
        <v>1.5686274509803921</v>
      </c>
      <c r="F146" s="64"/>
      <c r="G146" s="64"/>
      <c r="H146" s="64"/>
      <c r="I146" s="55">
        <f t="shared" si="0"/>
        <v>127.5</v>
      </c>
      <c r="J146" s="55">
        <f>SUMIF('3-Basis ruimtestaat'!J:J,A146,'3-Basis ruimtestaat'!I:I)</f>
        <v>0</v>
      </c>
      <c r="K146" s="66" t="str">
        <f t="shared" si="12"/>
        <v/>
      </c>
      <c r="L146" s="68"/>
      <c r="M146" s="57" t="s">
        <v>136</v>
      </c>
      <c r="N146" s="69"/>
      <c r="O146" s="84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17" customHeight="1">
      <c r="A147" s="512">
        <v>8205</v>
      </c>
      <c r="B147" s="72">
        <v>205</v>
      </c>
      <c r="C147" s="115" t="s">
        <v>144</v>
      </c>
      <c r="D147" s="380" t="s">
        <v>120</v>
      </c>
      <c r="E147" s="64">
        <f>E151/255*B147*1.05</f>
        <v>1.6882352941176473</v>
      </c>
      <c r="F147" s="64"/>
      <c r="G147" s="64"/>
      <c r="H147" s="64"/>
      <c r="I147" s="55">
        <f t="shared" si="0"/>
        <v>121.42857142857142</v>
      </c>
      <c r="J147" s="55">
        <f>SUMIF('3-Basis ruimtestaat'!J:J,A147,'3-Basis ruimtestaat'!I:I)</f>
        <v>18.260000000000002</v>
      </c>
      <c r="K147" s="66">
        <f t="shared" si="12"/>
        <v>1.3672665018059753E-3</v>
      </c>
      <c r="L147" s="68"/>
      <c r="M147" s="57" t="s">
        <v>136</v>
      </c>
      <c r="N147" s="69"/>
      <c r="O147" s="84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17" hidden="1" customHeight="1">
      <c r="A148" s="512">
        <v>8210</v>
      </c>
      <c r="B148" s="72">
        <v>210</v>
      </c>
      <c r="C148" s="115" t="s">
        <v>144</v>
      </c>
      <c r="D148" s="63" t="s">
        <v>121</v>
      </c>
      <c r="E148" s="64">
        <f>E151/255*B148</f>
        <v>1.6470588235294117</v>
      </c>
      <c r="F148" s="64"/>
      <c r="G148" s="64"/>
      <c r="H148" s="64"/>
      <c r="I148" s="55">
        <f t="shared" si="0"/>
        <v>127.5</v>
      </c>
      <c r="J148" s="55">
        <f>SUMIF('3-Basis ruimtestaat'!J:J,A148,'3-Basis ruimtestaat'!I:I)</f>
        <v>0</v>
      </c>
      <c r="K148" s="66" t="str">
        <f t="shared" si="12"/>
        <v/>
      </c>
      <c r="L148" s="68"/>
      <c r="M148" s="57" t="s">
        <v>136</v>
      </c>
      <c r="N148" s="69"/>
      <c r="O148" s="84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17" hidden="1" customHeight="1">
      <c r="A149" s="512">
        <v>8230</v>
      </c>
      <c r="B149" s="72">
        <v>230</v>
      </c>
      <c r="C149" s="115" t="s">
        <v>144</v>
      </c>
      <c r="D149" s="63" t="s">
        <v>122</v>
      </c>
      <c r="E149" s="64">
        <f>E151/255*B149</f>
        <v>1.803921568627451</v>
      </c>
      <c r="F149" s="64"/>
      <c r="G149" s="64"/>
      <c r="H149" s="64"/>
      <c r="I149" s="55">
        <f t="shared" ref="I149:I150" si="13">IF(E149=0,0,B149/(E149+F149+G149+H149))</f>
        <v>127.5</v>
      </c>
      <c r="J149" s="55">
        <f>SUMIF('3-Basis ruimtestaat'!J:J,A149,'3-Basis ruimtestaat'!I:I)</f>
        <v>0</v>
      </c>
      <c r="K149" s="66" t="str">
        <f t="shared" si="12"/>
        <v/>
      </c>
      <c r="L149" s="68"/>
      <c r="M149" s="57" t="s">
        <v>136</v>
      </c>
      <c r="N149" s="69"/>
      <c r="O149" s="84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17" hidden="1" customHeight="1">
      <c r="A150" s="512">
        <v>8245</v>
      </c>
      <c r="B150" s="72">
        <v>245</v>
      </c>
      <c r="C150" s="115" t="s">
        <v>144</v>
      </c>
      <c r="D150" s="63" t="s">
        <v>123</v>
      </c>
      <c r="E150" s="64">
        <f>E151/255*B150</f>
        <v>1.9215686274509804</v>
      </c>
      <c r="F150" s="64"/>
      <c r="G150" s="64"/>
      <c r="H150" s="64"/>
      <c r="I150" s="55">
        <f t="shared" si="13"/>
        <v>127.5</v>
      </c>
      <c r="J150" s="55">
        <f>SUMIF('3-Basis ruimtestaat'!J:J,A150,'3-Basis ruimtestaat'!I:I)</f>
        <v>0</v>
      </c>
      <c r="K150" s="66" t="str">
        <f t="shared" si="12"/>
        <v/>
      </c>
      <c r="L150" s="68"/>
      <c r="M150" s="57" t="s">
        <v>136</v>
      </c>
      <c r="N150" s="69"/>
      <c r="O150" s="84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17" customHeight="1">
      <c r="A151" s="512">
        <v>8255</v>
      </c>
      <c r="B151" s="72">
        <v>255</v>
      </c>
      <c r="C151" s="115" t="s">
        <v>144</v>
      </c>
      <c r="D151" s="63" t="s">
        <v>124</v>
      </c>
      <c r="E151" s="64">
        <f>O151*$O$9</f>
        <v>2</v>
      </c>
      <c r="F151" s="64"/>
      <c r="G151" s="64"/>
      <c r="H151" s="64"/>
      <c r="I151" s="55">
        <f t="shared" si="0"/>
        <v>127.5</v>
      </c>
      <c r="J151" s="55">
        <f>SUMIF('3-Basis ruimtestaat'!J:J,A151,'3-Basis ruimtestaat'!I:I)</f>
        <v>214.82000000000002</v>
      </c>
      <c r="K151" s="66">
        <f t="shared" si="12"/>
        <v>1.6085223982363613E-2</v>
      </c>
      <c r="L151" s="68"/>
      <c r="M151" s="57" t="s">
        <v>136</v>
      </c>
      <c r="N151" s="69"/>
      <c r="O151" s="92">
        <v>2</v>
      </c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17" customHeight="1" thickBot="1">
      <c r="A152" s="512">
        <v>8510</v>
      </c>
      <c r="B152" s="113">
        <v>510</v>
      </c>
      <c r="C152" s="115" t="s">
        <v>144</v>
      </c>
      <c r="D152" s="63" t="s">
        <v>125</v>
      </c>
      <c r="E152" s="64">
        <f>E151</f>
        <v>2</v>
      </c>
      <c r="F152" s="64">
        <f>E152*0.5</f>
        <v>1</v>
      </c>
      <c r="G152" s="64"/>
      <c r="H152" s="64"/>
      <c r="I152" s="55">
        <f t="shared" si="0"/>
        <v>170</v>
      </c>
      <c r="J152" s="55">
        <f>SUMIF('3-Basis ruimtestaat'!J:J,A152,'3-Basis ruimtestaat'!I:I)</f>
        <v>16.600000000000001</v>
      </c>
      <c r="K152" s="66">
        <f t="shared" si="12"/>
        <v>1.2429695470963411E-3</v>
      </c>
      <c r="L152" s="68"/>
      <c r="M152" s="57" t="s">
        <v>136</v>
      </c>
      <c r="N152" s="69"/>
      <c r="O152" s="71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17" hidden="1" customHeight="1">
      <c r="A153" s="512">
        <v>9010</v>
      </c>
      <c r="B153" s="62">
        <v>10</v>
      </c>
      <c r="C153" s="115" t="s">
        <v>145</v>
      </c>
      <c r="D153" s="63" t="s">
        <v>107</v>
      </c>
      <c r="E153" s="64">
        <f>E166/255*B153*1.5</f>
        <v>5.0647058823529406E-2</v>
      </c>
      <c r="F153" s="64"/>
      <c r="G153" s="64"/>
      <c r="H153" s="64"/>
      <c r="I153" s="55">
        <f t="shared" si="0"/>
        <v>197.44483159117308</v>
      </c>
      <c r="J153" s="55">
        <f>SUMIF('3-Basis ruimtestaat'!J:J,A153,'3-Basis ruimtestaat'!I:I)</f>
        <v>0</v>
      </c>
      <c r="K153" s="66" t="str">
        <f t="shared" si="12"/>
        <v/>
      </c>
      <c r="L153" s="68"/>
      <c r="M153" s="57" t="s">
        <v>146</v>
      </c>
      <c r="N153" s="69"/>
      <c r="O153" s="84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17" hidden="1" customHeight="1">
      <c r="A154" s="512">
        <v>9012</v>
      </c>
      <c r="B154" s="72">
        <v>12</v>
      </c>
      <c r="C154" s="115" t="s">
        <v>145</v>
      </c>
      <c r="D154" s="63" t="s">
        <v>109</v>
      </c>
      <c r="E154" s="64">
        <f>E166/255*B154*1.5</f>
        <v>6.07764705882353E-2</v>
      </c>
      <c r="F154" s="64"/>
      <c r="G154" s="64"/>
      <c r="H154" s="64"/>
      <c r="I154" s="55">
        <f t="shared" si="0"/>
        <v>197.44483159117303</v>
      </c>
      <c r="J154" s="55">
        <f>SUMIF('3-Basis ruimtestaat'!J:J,A154,'3-Basis ruimtestaat'!I:I)</f>
        <v>0</v>
      </c>
      <c r="K154" s="66" t="str">
        <f t="shared" si="12"/>
        <v/>
      </c>
      <c r="L154" s="68"/>
      <c r="M154" s="57" t="s">
        <v>146</v>
      </c>
      <c r="N154" s="69"/>
      <c r="O154" s="84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17" hidden="1" customHeight="1">
      <c r="A155" s="512">
        <v>9040</v>
      </c>
      <c r="B155" s="72">
        <v>40</v>
      </c>
      <c r="C155" s="115" t="s">
        <v>145</v>
      </c>
      <c r="D155" s="63" t="s">
        <v>137</v>
      </c>
      <c r="E155" s="64">
        <f>E166/255*B155*1.3</f>
        <v>0.17557647058823531</v>
      </c>
      <c r="F155" s="64"/>
      <c r="G155" s="64"/>
      <c r="H155" s="64"/>
      <c r="I155" s="55">
        <f t="shared" si="0"/>
        <v>227.82095952827657</v>
      </c>
      <c r="J155" s="55">
        <f>SUMIF('3-Basis ruimtestaat'!J:J,A155,'3-Basis ruimtestaat'!I:I)</f>
        <v>0</v>
      </c>
      <c r="K155" s="66" t="str">
        <f t="shared" si="12"/>
        <v/>
      </c>
      <c r="L155" s="68"/>
      <c r="M155" s="57" t="s">
        <v>146</v>
      </c>
      <c r="N155" s="69"/>
      <c r="O155" s="71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17" hidden="1" customHeight="1">
      <c r="A156" s="512">
        <v>9052</v>
      </c>
      <c r="B156" s="72">
        <v>52</v>
      </c>
      <c r="C156" s="115" t="s">
        <v>145</v>
      </c>
      <c r="D156" s="63" t="s">
        <v>111</v>
      </c>
      <c r="E156" s="64">
        <f>E166/255*B156*1.4</f>
        <v>0.24580705882352941</v>
      </c>
      <c r="F156" s="64"/>
      <c r="G156" s="64"/>
      <c r="H156" s="64"/>
      <c r="I156" s="55">
        <f t="shared" si="0"/>
        <v>211.54803384768542</v>
      </c>
      <c r="J156" s="55">
        <f>SUMIF('3-Basis ruimtestaat'!J:J,A156,'3-Basis ruimtestaat'!I:I)</f>
        <v>0</v>
      </c>
      <c r="K156" s="66" t="str">
        <f t="shared" si="12"/>
        <v/>
      </c>
      <c r="L156" s="68"/>
      <c r="M156" s="57" t="s">
        <v>146</v>
      </c>
      <c r="N156" s="69"/>
      <c r="O156" s="71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17" hidden="1" customHeight="1">
      <c r="A157" s="512">
        <v>9080</v>
      </c>
      <c r="B157" s="72">
        <v>80</v>
      </c>
      <c r="C157" s="115" t="s">
        <v>145</v>
      </c>
      <c r="D157" s="63" t="s">
        <v>112</v>
      </c>
      <c r="E157" s="64">
        <f>E166/255*B157*1.2</f>
        <v>0.32414117647058821</v>
      </c>
      <c r="F157" s="64"/>
      <c r="G157" s="64"/>
      <c r="H157" s="64"/>
      <c r="I157" s="55">
        <f t="shared" si="0"/>
        <v>246.80603948896635</v>
      </c>
      <c r="J157" s="55">
        <f>SUMIF('3-Basis ruimtestaat'!J:J,A157,'3-Basis ruimtestaat'!I:I)</f>
        <v>0</v>
      </c>
      <c r="K157" s="66" t="str">
        <f t="shared" si="12"/>
        <v/>
      </c>
      <c r="L157" s="68"/>
      <c r="M157" s="57" t="s">
        <v>146</v>
      </c>
      <c r="N157" s="69"/>
      <c r="O157" s="71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17" hidden="1" customHeight="1">
      <c r="A158" s="512">
        <v>9104</v>
      </c>
      <c r="B158" s="72">
        <v>104</v>
      </c>
      <c r="C158" s="115" t="s">
        <v>145</v>
      </c>
      <c r="D158" s="63" t="s">
        <v>113</v>
      </c>
      <c r="E158" s="64">
        <f>E166/255*B158*1.2</f>
        <v>0.42138352941176471</v>
      </c>
      <c r="F158" s="64"/>
      <c r="G158" s="64"/>
      <c r="H158" s="64"/>
      <c r="I158" s="55">
        <f t="shared" si="0"/>
        <v>246.80603948896632</v>
      </c>
      <c r="J158" s="55">
        <f>SUMIF('3-Basis ruimtestaat'!J:J,A158,'3-Basis ruimtestaat'!I:I)</f>
        <v>0</v>
      </c>
      <c r="K158" s="66" t="str">
        <f t="shared" si="12"/>
        <v/>
      </c>
      <c r="L158" s="68"/>
      <c r="M158" s="57" t="s">
        <v>146</v>
      </c>
      <c r="N158" s="69"/>
      <c r="O158" s="71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17" hidden="1" customHeight="1">
      <c r="A159" s="512">
        <v>9120</v>
      </c>
      <c r="B159" s="72">
        <v>120</v>
      </c>
      <c r="C159" s="115" t="s">
        <v>145</v>
      </c>
      <c r="D159" s="63" t="s">
        <v>114</v>
      </c>
      <c r="E159" s="64">
        <f>E166/255*B159*1.2</f>
        <v>0.48621176470588234</v>
      </c>
      <c r="F159" s="64"/>
      <c r="G159" s="64"/>
      <c r="H159" s="64"/>
      <c r="I159" s="55">
        <f t="shared" si="0"/>
        <v>246.80603948896632</v>
      </c>
      <c r="J159" s="55">
        <f>SUMIF('3-Basis ruimtestaat'!J:J,A159,'3-Basis ruimtestaat'!I:I)</f>
        <v>0</v>
      </c>
      <c r="K159" s="66" t="str">
        <f t="shared" si="12"/>
        <v/>
      </c>
      <c r="L159" s="68"/>
      <c r="M159" s="57" t="s">
        <v>146</v>
      </c>
      <c r="N159" s="69"/>
      <c r="O159" s="84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17" hidden="1" customHeight="1">
      <c r="A160" s="512">
        <v>9130</v>
      </c>
      <c r="B160" s="72">
        <v>130</v>
      </c>
      <c r="C160" s="115" t="s">
        <v>145</v>
      </c>
      <c r="D160" s="63" t="s">
        <v>115</v>
      </c>
      <c r="E160" s="64">
        <f>E166/255*B160*1.1</f>
        <v>0.48283529411764708</v>
      </c>
      <c r="F160" s="64"/>
      <c r="G160" s="64"/>
      <c r="H160" s="64"/>
      <c r="I160" s="55">
        <f t="shared" si="0"/>
        <v>269.2429521697814</v>
      </c>
      <c r="J160" s="55">
        <f>SUMIF('3-Basis ruimtestaat'!J:J,A160,'3-Basis ruimtestaat'!I:I)</f>
        <v>0</v>
      </c>
      <c r="K160" s="66" t="str">
        <f t="shared" si="12"/>
        <v/>
      </c>
      <c r="L160" s="68"/>
      <c r="M160" s="57" t="s">
        <v>146</v>
      </c>
      <c r="N160" s="69"/>
      <c r="O160" s="84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17" hidden="1" customHeight="1">
      <c r="A161" s="512">
        <v>9156</v>
      </c>
      <c r="B161" s="72">
        <v>156</v>
      </c>
      <c r="C161" s="115" t="s">
        <v>145</v>
      </c>
      <c r="D161" s="63" t="s">
        <v>117</v>
      </c>
      <c r="E161" s="64">
        <f>E166/255*B161*1.1</f>
        <v>0.57940235294117648</v>
      </c>
      <c r="F161" s="64"/>
      <c r="G161" s="64"/>
      <c r="H161" s="64"/>
      <c r="I161" s="55">
        <f t="shared" si="0"/>
        <v>269.24295216978146</v>
      </c>
      <c r="J161" s="55">
        <f>SUMIF('3-Basis ruimtestaat'!J:J,A161,'3-Basis ruimtestaat'!I:I)</f>
        <v>0</v>
      </c>
      <c r="K161" s="66" t="str">
        <f t="shared" si="12"/>
        <v/>
      </c>
      <c r="L161" s="68"/>
      <c r="M161" s="57" t="s">
        <v>146</v>
      </c>
      <c r="N161" s="69"/>
      <c r="O161" s="84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17" hidden="1" customHeight="1">
      <c r="A162" s="512">
        <v>9160</v>
      </c>
      <c r="B162" s="72">
        <v>160</v>
      </c>
      <c r="C162" s="115" t="s">
        <v>145</v>
      </c>
      <c r="D162" s="63" t="s">
        <v>118</v>
      </c>
      <c r="E162" s="64">
        <f>E166/255*B162</f>
        <v>0.54023529411764704</v>
      </c>
      <c r="F162" s="64"/>
      <c r="G162" s="64"/>
      <c r="H162" s="64"/>
      <c r="I162" s="55">
        <f t="shared" si="0"/>
        <v>296.16724738675958</v>
      </c>
      <c r="J162" s="55">
        <f>SUMIF('3-Basis ruimtestaat'!J:J,A162,'3-Basis ruimtestaat'!I:I)</f>
        <v>0</v>
      </c>
      <c r="K162" s="66" t="str">
        <f t="shared" si="12"/>
        <v/>
      </c>
      <c r="L162" s="68"/>
      <c r="M162" s="57" t="s">
        <v>146</v>
      </c>
      <c r="N162" s="69"/>
      <c r="O162" s="84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17" hidden="1" customHeight="1">
      <c r="A163" s="512">
        <v>9200</v>
      </c>
      <c r="B163" s="72">
        <v>200</v>
      </c>
      <c r="C163" s="115" t="s">
        <v>145</v>
      </c>
      <c r="D163" s="63" t="s">
        <v>121</v>
      </c>
      <c r="E163" s="64">
        <f>E166/255*B163</f>
        <v>0.67529411764705882</v>
      </c>
      <c r="F163" s="117"/>
      <c r="G163" s="117"/>
      <c r="H163" s="64"/>
      <c r="I163" s="55">
        <f t="shared" si="0"/>
        <v>296.16724738675958</v>
      </c>
      <c r="J163" s="55">
        <f>SUMIF('3-Basis ruimtestaat'!J:J,A163,'3-Basis ruimtestaat'!I:I)</f>
        <v>0</v>
      </c>
      <c r="K163" s="66" t="str">
        <f t="shared" si="12"/>
        <v/>
      </c>
      <c r="L163" s="68"/>
      <c r="M163" s="57" t="s">
        <v>146</v>
      </c>
      <c r="N163" s="69"/>
      <c r="O163" s="71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17" hidden="1" customHeight="1">
      <c r="A164" s="512">
        <v>9208</v>
      </c>
      <c r="B164" s="72">
        <v>208</v>
      </c>
      <c r="C164" s="115" t="s">
        <v>145</v>
      </c>
      <c r="D164" s="63" t="s">
        <v>139</v>
      </c>
      <c r="E164" s="64">
        <f>E166/255*B164*1.05</f>
        <v>0.73742117647058836</v>
      </c>
      <c r="F164" s="117"/>
      <c r="G164" s="117"/>
      <c r="H164" s="64"/>
      <c r="I164" s="55">
        <f t="shared" si="0"/>
        <v>282.06404513024717</v>
      </c>
      <c r="J164" s="55">
        <f>SUMIF('3-Basis ruimtestaat'!J:J,A164,'3-Basis ruimtestaat'!I:I)</f>
        <v>0</v>
      </c>
      <c r="K164" s="66" t="str">
        <f t="shared" si="12"/>
        <v/>
      </c>
      <c r="L164" s="68"/>
      <c r="M164" s="57" t="s">
        <v>146</v>
      </c>
      <c r="N164" s="69"/>
      <c r="O164" s="71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ht="17" hidden="1" customHeight="1">
      <c r="A165" s="512">
        <v>9210</v>
      </c>
      <c r="B165" s="72">
        <v>210</v>
      </c>
      <c r="C165" s="115" t="s">
        <v>145</v>
      </c>
      <c r="D165" s="63" t="s">
        <v>121</v>
      </c>
      <c r="E165" s="64">
        <f>E166/255*B165</f>
        <v>0.70905882352941174</v>
      </c>
      <c r="F165" s="117"/>
      <c r="G165" s="117"/>
      <c r="H165" s="64"/>
      <c r="I165" s="55">
        <f t="shared" ref="I165" si="14">IF(E165=0,0,B165/(E165+F165+G165+H165))</f>
        <v>296.16724738675958</v>
      </c>
      <c r="J165" s="55">
        <f>SUMIF('3-Basis ruimtestaat'!J:J,A165,'3-Basis ruimtestaat'!I:I)</f>
        <v>0</v>
      </c>
      <c r="K165" s="66" t="str">
        <f t="shared" si="12"/>
        <v/>
      </c>
      <c r="L165" s="68"/>
      <c r="M165" s="57" t="s">
        <v>146</v>
      </c>
      <c r="N165" s="69"/>
      <c r="O165" s="71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spans="1:26" ht="17" hidden="1" customHeight="1">
      <c r="A166" s="512">
        <v>9255</v>
      </c>
      <c r="B166" s="72">
        <v>255</v>
      </c>
      <c r="C166" s="115" t="s">
        <v>145</v>
      </c>
      <c r="D166" s="63" t="s">
        <v>124</v>
      </c>
      <c r="E166" s="64">
        <f>O166*$O$9</f>
        <v>0.86099999999999999</v>
      </c>
      <c r="F166" s="117"/>
      <c r="G166" s="117"/>
      <c r="H166" s="64"/>
      <c r="I166" s="55">
        <f t="shared" si="0"/>
        <v>296.16724738675958</v>
      </c>
      <c r="J166" s="55">
        <f>SUMIF('3-Basis ruimtestaat'!J:J,A166,'3-Basis ruimtestaat'!I:I)</f>
        <v>0</v>
      </c>
      <c r="K166" s="66" t="str">
        <f t="shared" si="12"/>
        <v/>
      </c>
      <c r="L166" s="68"/>
      <c r="M166" s="57" t="s">
        <v>146</v>
      </c>
      <c r="N166" s="69"/>
      <c r="O166" s="92">
        <v>0.86099999999999999</v>
      </c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spans="1:26" ht="17" hidden="1" customHeight="1" thickBot="1">
      <c r="A167" s="512">
        <v>9365</v>
      </c>
      <c r="B167" s="113">
        <v>365</v>
      </c>
      <c r="C167" s="115" t="s">
        <v>145</v>
      </c>
      <c r="D167" s="63" t="s">
        <v>129</v>
      </c>
      <c r="E167" s="64">
        <f>E166</f>
        <v>0.86099999999999999</v>
      </c>
      <c r="F167" s="64"/>
      <c r="G167" s="64">
        <f>E167/255*104*0.8</f>
        <v>0.28092235294117651</v>
      </c>
      <c r="H167" s="52"/>
      <c r="I167" s="55">
        <f t="shared" si="0"/>
        <v>319.63644380889195</v>
      </c>
      <c r="J167" s="55">
        <f>SUMIF('3-Basis ruimtestaat'!J:J,A167,'3-Basis ruimtestaat'!I:I)</f>
        <v>0</v>
      </c>
      <c r="K167" s="66" t="str">
        <f t="shared" si="12"/>
        <v/>
      </c>
      <c r="L167" s="56"/>
      <c r="M167" s="57" t="s">
        <v>146</v>
      </c>
      <c r="N167" s="69"/>
      <c r="O167" s="71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spans="1:26" ht="17" hidden="1" customHeight="1">
      <c r="A168" s="512">
        <v>10010</v>
      </c>
      <c r="B168" s="62">
        <v>10</v>
      </c>
      <c r="C168" s="115" t="s">
        <v>147</v>
      </c>
      <c r="D168" s="63" t="s">
        <v>107</v>
      </c>
      <c r="E168" s="64">
        <f>E181/255*B168*1.5</f>
        <v>5.5588235294117647E-2</v>
      </c>
      <c r="F168" s="64"/>
      <c r="G168" s="64"/>
      <c r="H168" s="64"/>
      <c r="I168" s="55">
        <f t="shared" si="0"/>
        <v>179.8941798941799</v>
      </c>
      <c r="J168" s="55">
        <f>SUMIF('3-Basis ruimtestaat'!J:J,A168,'3-Basis ruimtestaat'!I:I)</f>
        <v>0</v>
      </c>
      <c r="K168" s="66" t="str">
        <f t="shared" si="12"/>
        <v/>
      </c>
      <c r="L168" s="68"/>
      <c r="M168" s="57" t="s">
        <v>148</v>
      </c>
      <c r="N168" s="69"/>
      <c r="O168" s="71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spans="1:26" ht="17" hidden="1" customHeight="1">
      <c r="A169" s="512">
        <v>10012</v>
      </c>
      <c r="B169" s="72">
        <v>12</v>
      </c>
      <c r="C169" s="115" t="s">
        <v>147</v>
      </c>
      <c r="D169" s="63" t="s">
        <v>109</v>
      </c>
      <c r="E169" s="64">
        <f>E181/255*B169*1.5</f>
        <v>6.670588235294117E-2</v>
      </c>
      <c r="F169" s="64"/>
      <c r="G169" s="64"/>
      <c r="H169" s="64"/>
      <c r="I169" s="55">
        <f t="shared" si="0"/>
        <v>179.8941798941799</v>
      </c>
      <c r="J169" s="55">
        <f>SUMIF('3-Basis ruimtestaat'!J:J,A169,'3-Basis ruimtestaat'!I:I)</f>
        <v>0</v>
      </c>
      <c r="K169" s="66" t="str">
        <f t="shared" si="12"/>
        <v/>
      </c>
      <c r="L169" s="68"/>
      <c r="M169" s="57" t="s">
        <v>148</v>
      </c>
      <c r="N169" s="69"/>
      <c r="O169" s="71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ht="17" hidden="1" customHeight="1">
      <c r="A170" s="512">
        <v>10040</v>
      </c>
      <c r="B170" s="72">
        <v>40</v>
      </c>
      <c r="C170" s="115" t="s">
        <v>147</v>
      </c>
      <c r="D170" s="63" t="s">
        <v>137</v>
      </c>
      <c r="E170" s="64">
        <f>E181/255*B170*1.3</f>
        <v>0.19270588235294117</v>
      </c>
      <c r="F170" s="64"/>
      <c r="G170" s="64"/>
      <c r="H170" s="64"/>
      <c r="I170" s="55">
        <f t="shared" si="0"/>
        <v>207.57020757020757</v>
      </c>
      <c r="J170" s="55">
        <f>SUMIF('3-Basis ruimtestaat'!J:J,A170,'3-Basis ruimtestaat'!I:I)</f>
        <v>0</v>
      </c>
      <c r="K170" s="66" t="str">
        <f t="shared" si="12"/>
        <v/>
      </c>
      <c r="L170" s="68"/>
      <c r="M170" s="57" t="s">
        <v>148</v>
      </c>
      <c r="N170" s="69"/>
      <c r="O170" s="71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spans="1:26" ht="17" hidden="1" customHeight="1">
      <c r="A171" s="512">
        <v>10052</v>
      </c>
      <c r="B171" s="72">
        <v>52</v>
      </c>
      <c r="C171" s="115" t="s">
        <v>147</v>
      </c>
      <c r="D171" s="63" t="s">
        <v>111</v>
      </c>
      <c r="E171" s="64">
        <f>E181/255*B171*1.4</f>
        <v>0.26978823529411761</v>
      </c>
      <c r="F171" s="64"/>
      <c r="G171" s="64"/>
      <c r="H171" s="64"/>
      <c r="I171" s="55">
        <f t="shared" si="0"/>
        <v>192.74376417233563</v>
      </c>
      <c r="J171" s="55">
        <f>SUMIF('3-Basis ruimtestaat'!J:J,A171,'3-Basis ruimtestaat'!I:I)</f>
        <v>0</v>
      </c>
      <c r="K171" s="66" t="str">
        <f t="shared" si="12"/>
        <v/>
      </c>
      <c r="L171" s="68"/>
      <c r="M171" s="57" t="s">
        <v>148</v>
      </c>
      <c r="N171" s="69"/>
      <c r="O171" s="71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ht="17" hidden="1" customHeight="1">
      <c r="A172" s="512">
        <v>10080</v>
      </c>
      <c r="B172" s="72">
        <v>80</v>
      </c>
      <c r="C172" s="115" t="s">
        <v>147</v>
      </c>
      <c r="D172" s="63" t="s">
        <v>112</v>
      </c>
      <c r="E172" s="64">
        <f>E181/255*B172*1.2</f>
        <v>0.35576470588235293</v>
      </c>
      <c r="F172" s="64"/>
      <c r="G172" s="64"/>
      <c r="H172" s="64"/>
      <c r="I172" s="55">
        <f t="shared" si="0"/>
        <v>224.86772486772489</v>
      </c>
      <c r="J172" s="55">
        <f>SUMIF('3-Basis ruimtestaat'!J:J,A172,'3-Basis ruimtestaat'!I:I)</f>
        <v>0</v>
      </c>
      <c r="K172" s="66" t="str">
        <f t="shared" si="12"/>
        <v/>
      </c>
      <c r="L172" s="68"/>
      <c r="M172" s="57" t="s">
        <v>148</v>
      </c>
      <c r="N172" s="69"/>
      <c r="O172" s="71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ht="17" hidden="1" customHeight="1">
      <c r="A173" s="512">
        <v>10104</v>
      </c>
      <c r="B173" s="72">
        <v>104</v>
      </c>
      <c r="C173" s="115" t="s">
        <v>147</v>
      </c>
      <c r="D173" s="63" t="s">
        <v>113</v>
      </c>
      <c r="E173" s="64">
        <f>E181/255*B173*1.2</f>
        <v>0.46249411764705878</v>
      </c>
      <c r="F173" s="64"/>
      <c r="G173" s="64"/>
      <c r="H173" s="64"/>
      <c r="I173" s="55">
        <f t="shared" si="0"/>
        <v>224.86772486772489</v>
      </c>
      <c r="J173" s="55">
        <f>SUMIF('3-Basis ruimtestaat'!J:J,A173,'3-Basis ruimtestaat'!I:I)</f>
        <v>0</v>
      </c>
      <c r="K173" s="66" t="str">
        <f t="shared" si="12"/>
        <v/>
      </c>
      <c r="L173" s="68"/>
      <c r="M173" s="57" t="s">
        <v>148</v>
      </c>
      <c r="N173" s="69"/>
      <c r="O173" s="84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ht="17" hidden="1" customHeight="1">
      <c r="A174" s="512">
        <v>10120</v>
      </c>
      <c r="B174" s="72">
        <v>120</v>
      </c>
      <c r="C174" s="115" t="s">
        <v>147</v>
      </c>
      <c r="D174" s="63" t="s">
        <v>114</v>
      </c>
      <c r="E174" s="64">
        <f>E181/255*B174*1.2</f>
        <v>0.53364705882352936</v>
      </c>
      <c r="F174" s="64"/>
      <c r="G174" s="64"/>
      <c r="H174" s="64"/>
      <c r="I174" s="55">
        <f t="shared" si="0"/>
        <v>224.86772486772489</v>
      </c>
      <c r="J174" s="55">
        <f>SUMIF('3-Basis ruimtestaat'!J:J,A174,'3-Basis ruimtestaat'!I:I)</f>
        <v>0</v>
      </c>
      <c r="K174" s="66" t="str">
        <f t="shared" si="12"/>
        <v/>
      </c>
      <c r="L174" s="68"/>
      <c r="M174" s="57" t="s">
        <v>148</v>
      </c>
      <c r="N174" s="69"/>
      <c r="O174" s="71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ht="17" hidden="1" customHeight="1">
      <c r="A175" s="512">
        <v>10130</v>
      </c>
      <c r="B175" s="72">
        <v>130</v>
      </c>
      <c r="C175" s="115" t="s">
        <v>147</v>
      </c>
      <c r="D175" s="63" t="s">
        <v>115</v>
      </c>
      <c r="E175" s="64">
        <f>E181/255*B175*1.1</f>
        <v>0.52994117647058825</v>
      </c>
      <c r="F175" s="64"/>
      <c r="G175" s="64"/>
      <c r="H175" s="64"/>
      <c r="I175" s="55">
        <f t="shared" si="0"/>
        <v>245.31024531024531</v>
      </c>
      <c r="J175" s="55">
        <f>SUMIF('3-Basis ruimtestaat'!J:J,A175,'3-Basis ruimtestaat'!I:I)</f>
        <v>0</v>
      </c>
      <c r="K175" s="66" t="str">
        <f t="shared" si="12"/>
        <v/>
      </c>
      <c r="L175" s="68"/>
      <c r="M175" s="57" t="s">
        <v>148</v>
      </c>
      <c r="N175" s="69"/>
      <c r="O175" s="71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spans="1:26" ht="17" hidden="1" customHeight="1">
      <c r="A176" s="512">
        <v>10156</v>
      </c>
      <c r="B176" s="72">
        <v>156</v>
      </c>
      <c r="C176" s="115" t="s">
        <v>147</v>
      </c>
      <c r="D176" s="63" t="s">
        <v>117</v>
      </c>
      <c r="E176" s="64">
        <f>E181/255*B176*1.1</f>
        <v>0.63592941176470597</v>
      </c>
      <c r="F176" s="64"/>
      <c r="G176" s="64"/>
      <c r="H176" s="64"/>
      <c r="I176" s="55">
        <f t="shared" si="0"/>
        <v>245.31024531024528</v>
      </c>
      <c r="J176" s="55">
        <f>SUMIF('3-Basis ruimtestaat'!J:J,A176,'3-Basis ruimtestaat'!I:I)</f>
        <v>0</v>
      </c>
      <c r="K176" s="66" t="str">
        <f t="shared" si="12"/>
        <v/>
      </c>
      <c r="L176" s="68"/>
      <c r="M176" s="57" t="s">
        <v>148</v>
      </c>
      <c r="N176" s="69"/>
      <c r="O176" s="71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17" hidden="1" customHeight="1">
      <c r="A177" s="512">
        <v>10160</v>
      </c>
      <c r="B177" s="72">
        <v>160</v>
      </c>
      <c r="C177" s="115" t="s">
        <v>147</v>
      </c>
      <c r="D177" s="63" t="s">
        <v>118</v>
      </c>
      <c r="E177" s="64">
        <f>E181/255*B177</f>
        <v>0.59294117647058819</v>
      </c>
      <c r="F177" s="64"/>
      <c r="G177" s="64"/>
      <c r="H177" s="64"/>
      <c r="I177" s="55">
        <f t="shared" si="0"/>
        <v>269.84126984126988</v>
      </c>
      <c r="J177" s="55">
        <f>SUMIF('3-Basis ruimtestaat'!J:J,A177,'3-Basis ruimtestaat'!I:I)</f>
        <v>0</v>
      </c>
      <c r="K177" s="66" t="str">
        <f t="shared" si="12"/>
        <v/>
      </c>
      <c r="L177" s="68"/>
      <c r="M177" s="57" t="s">
        <v>148</v>
      </c>
      <c r="N177" s="69"/>
      <c r="O177" s="71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spans="1:26" ht="17" hidden="1" customHeight="1">
      <c r="A178" s="512">
        <v>10200</v>
      </c>
      <c r="B178" s="72">
        <v>200</v>
      </c>
      <c r="C178" s="115" t="s">
        <v>147</v>
      </c>
      <c r="D178" s="63" t="s">
        <v>119</v>
      </c>
      <c r="E178" s="64">
        <f>E181/255*B178</f>
        <v>0.74117647058823533</v>
      </c>
      <c r="F178" s="64"/>
      <c r="G178" s="64"/>
      <c r="H178" s="64"/>
      <c r="I178" s="55">
        <f t="shared" si="0"/>
        <v>269.84126984126982</v>
      </c>
      <c r="J178" s="55">
        <f>SUMIF('3-Basis ruimtestaat'!J:J,A178,'3-Basis ruimtestaat'!I:I)</f>
        <v>0</v>
      </c>
      <c r="K178" s="66" t="str">
        <f t="shared" si="12"/>
        <v/>
      </c>
      <c r="L178" s="68"/>
      <c r="M178" s="57" t="s">
        <v>148</v>
      </c>
      <c r="N178" s="69"/>
      <c r="O178" s="71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spans="1:26" ht="17" hidden="1" customHeight="1">
      <c r="A179" s="512">
        <v>10208</v>
      </c>
      <c r="B179" s="72">
        <v>208</v>
      </c>
      <c r="C179" s="115" t="s">
        <v>147</v>
      </c>
      <c r="D179" s="63" t="s">
        <v>139</v>
      </c>
      <c r="E179" s="64">
        <f>E181/255*B179*1.05</f>
        <v>0.80936470588235299</v>
      </c>
      <c r="F179" s="64"/>
      <c r="G179" s="64"/>
      <c r="H179" s="64"/>
      <c r="I179" s="55">
        <f t="shared" si="0"/>
        <v>256.99168556311412</v>
      </c>
      <c r="J179" s="55">
        <f>SUMIF('3-Basis ruimtestaat'!J:J,A179,'3-Basis ruimtestaat'!I:I)</f>
        <v>0</v>
      </c>
      <c r="K179" s="66" t="str">
        <f t="shared" si="12"/>
        <v/>
      </c>
      <c r="L179" s="68"/>
      <c r="M179" s="57" t="s">
        <v>148</v>
      </c>
      <c r="N179" s="69"/>
      <c r="O179" s="71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spans="1:26" ht="17" hidden="1" customHeight="1">
      <c r="A180" s="512">
        <v>10210</v>
      </c>
      <c r="B180" s="72">
        <v>210</v>
      </c>
      <c r="C180" s="115" t="s">
        <v>147</v>
      </c>
      <c r="D180" s="63" t="s">
        <v>121</v>
      </c>
      <c r="E180" s="64">
        <f>E181/255*B180</f>
        <v>0.77823529411764703</v>
      </c>
      <c r="F180" s="64"/>
      <c r="G180" s="64"/>
      <c r="H180" s="64"/>
      <c r="I180" s="55">
        <f t="shared" ref="I180" si="15">IF(E180=0,0,B180/(E180+F180+G180+H180))</f>
        <v>269.84126984126988</v>
      </c>
      <c r="J180" s="55">
        <f>SUMIF('3-Basis ruimtestaat'!J:J,A180,'3-Basis ruimtestaat'!I:I)</f>
        <v>0</v>
      </c>
      <c r="K180" s="66" t="str">
        <f t="shared" si="12"/>
        <v/>
      </c>
      <c r="L180" s="68"/>
      <c r="M180" s="57" t="s">
        <v>148</v>
      </c>
      <c r="N180" s="69"/>
      <c r="O180" s="71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spans="1:26" ht="17" hidden="1" customHeight="1">
      <c r="A181" s="512">
        <v>10255</v>
      </c>
      <c r="B181" s="72">
        <v>255</v>
      </c>
      <c r="C181" s="115" t="s">
        <v>147</v>
      </c>
      <c r="D181" s="63" t="s">
        <v>124</v>
      </c>
      <c r="E181" s="64">
        <f>O181*$O$9</f>
        <v>0.94499999999999995</v>
      </c>
      <c r="F181" s="64"/>
      <c r="G181" s="64"/>
      <c r="H181" s="64"/>
      <c r="I181" s="55">
        <f t="shared" si="0"/>
        <v>269.84126984126988</v>
      </c>
      <c r="J181" s="55">
        <f>SUMIF('3-Basis ruimtestaat'!J:J,A181,'3-Basis ruimtestaat'!I:I)</f>
        <v>0</v>
      </c>
      <c r="K181" s="66" t="str">
        <f t="shared" si="12"/>
        <v/>
      </c>
      <c r="L181" s="68"/>
      <c r="M181" s="57" t="s">
        <v>148</v>
      </c>
      <c r="N181" s="69"/>
      <c r="O181" s="92">
        <v>0.94499999999999995</v>
      </c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spans="1:26" ht="17" hidden="1" customHeight="1" thickBot="1">
      <c r="A182" s="512">
        <v>10365</v>
      </c>
      <c r="B182" s="113">
        <v>365</v>
      </c>
      <c r="C182" s="115" t="s">
        <v>147</v>
      </c>
      <c r="D182" s="63" t="s">
        <v>129</v>
      </c>
      <c r="E182" s="64">
        <f>E181</f>
        <v>0.94499999999999995</v>
      </c>
      <c r="F182" s="64"/>
      <c r="G182" s="64">
        <f>E182/255*104*0.8</f>
        <v>0.30832941176470591</v>
      </c>
      <c r="H182" s="64"/>
      <c r="I182" s="55">
        <f t="shared" si="0"/>
        <v>291.22431547032375</v>
      </c>
      <c r="J182" s="55">
        <f>SUMIF('3-Basis ruimtestaat'!J:J,A182,'3-Basis ruimtestaat'!I:I)</f>
        <v>0</v>
      </c>
      <c r="K182" s="66" t="str">
        <f t="shared" si="12"/>
        <v/>
      </c>
      <c r="L182" s="68"/>
      <c r="M182" s="57" t="s">
        <v>148</v>
      </c>
      <c r="N182" s="69"/>
      <c r="O182" s="71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spans="1:26" ht="17" hidden="1" customHeight="1">
      <c r="A183" s="512">
        <v>11010</v>
      </c>
      <c r="B183" s="62">
        <v>10</v>
      </c>
      <c r="C183" s="115" t="s">
        <v>149</v>
      </c>
      <c r="D183" s="63" t="s">
        <v>107</v>
      </c>
      <c r="E183" s="64">
        <f>E198/255*B183*1.5</f>
        <v>7.5529411764705873E-2</v>
      </c>
      <c r="F183" s="64"/>
      <c r="G183" s="64"/>
      <c r="H183" s="64"/>
      <c r="I183" s="55">
        <f t="shared" si="0"/>
        <v>132.39875389408101</v>
      </c>
      <c r="J183" s="55">
        <f>SUMIF('3-Basis ruimtestaat'!J:J,A183,'3-Basis ruimtestaat'!I:I)</f>
        <v>0</v>
      </c>
      <c r="K183" s="66" t="str">
        <f t="shared" si="12"/>
        <v/>
      </c>
      <c r="L183" s="68"/>
      <c r="M183" s="57" t="s">
        <v>127</v>
      </c>
      <c r="N183" s="69"/>
      <c r="O183" s="84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spans="1:26" ht="17" hidden="1" customHeight="1">
      <c r="A184" s="512">
        <v>11012</v>
      </c>
      <c r="B184" s="72">
        <v>12</v>
      </c>
      <c r="C184" s="115" t="s">
        <v>149</v>
      </c>
      <c r="D184" s="63" t="s">
        <v>109</v>
      </c>
      <c r="E184" s="64">
        <f>E198/255*B184*1.5</f>
        <v>9.0635294117647064E-2</v>
      </c>
      <c r="F184" s="64"/>
      <c r="G184" s="64"/>
      <c r="H184" s="64"/>
      <c r="I184" s="55">
        <f t="shared" si="0"/>
        <v>132.39875389408098</v>
      </c>
      <c r="J184" s="55">
        <f>SUMIF('3-Basis ruimtestaat'!J:J,A184,'3-Basis ruimtestaat'!I:I)</f>
        <v>0</v>
      </c>
      <c r="K184" s="66" t="str">
        <f t="shared" si="12"/>
        <v/>
      </c>
      <c r="L184" s="68"/>
      <c r="M184" s="57" t="s">
        <v>127</v>
      </c>
      <c r="N184" s="69"/>
      <c r="O184" s="71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ht="17" hidden="1" customHeight="1">
      <c r="A185" s="512">
        <v>11040</v>
      </c>
      <c r="B185" s="72">
        <v>40</v>
      </c>
      <c r="C185" s="115" t="s">
        <v>149</v>
      </c>
      <c r="D185" s="63" t="s">
        <v>137</v>
      </c>
      <c r="E185" s="64">
        <f>E198/255*B185*1.3</f>
        <v>0.26183529411764705</v>
      </c>
      <c r="F185" s="64"/>
      <c r="G185" s="64"/>
      <c r="H185" s="64"/>
      <c r="I185" s="55">
        <f t="shared" si="0"/>
        <v>152.76779295470885</v>
      </c>
      <c r="J185" s="55">
        <f>SUMIF('3-Basis ruimtestaat'!J:J,A185,'3-Basis ruimtestaat'!I:I)</f>
        <v>0</v>
      </c>
      <c r="K185" s="66" t="str">
        <f t="shared" si="12"/>
        <v/>
      </c>
      <c r="L185" s="68"/>
      <c r="M185" s="57" t="s">
        <v>127</v>
      </c>
      <c r="N185" s="69"/>
      <c r="O185" s="71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ht="17" hidden="1" customHeight="1">
      <c r="A186" s="512">
        <v>11052</v>
      </c>
      <c r="B186" s="72">
        <v>52</v>
      </c>
      <c r="C186" s="115" t="s">
        <v>149</v>
      </c>
      <c r="D186" s="63" t="s">
        <v>111</v>
      </c>
      <c r="E186" s="64">
        <f>E198/255*B186*1.4</f>
        <v>0.36656941176470587</v>
      </c>
      <c r="F186" s="64"/>
      <c r="G186" s="64"/>
      <c r="H186" s="64"/>
      <c r="I186" s="55">
        <f t="shared" si="0"/>
        <v>141.8558077436582</v>
      </c>
      <c r="J186" s="55">
        <f>SUMIF('3-Basis ruimtestaat'!J:J,A186,'3-Basis ruimtestaat'!I:I)</f>
        <v>0</v>
      </c>
      <c r="K186" s="66" t="str">
        <f t="shared" si="12"/>
        <v/>
      </c>
      <c r="L186" s="68"/>
      <c r="M186" s="57" t="s">
        <v>127</v>
      </c>
      <c r="N186" s="69"/>
      <c r="O186" s="71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ht="17" hidden="1" customHeight="1">
      <c r="A187" s="512">
        <v>11080</v>
      </c>
      <c r="B187" s="72">
        <v>80</v>
      </c>
      <c r="C187" s="115" t="s">
        <v>149</v>
      </c>
      <c r="D187" s="63" t="s">
        <v>112</v>
      </c>
      <c r="E187" s="64">
        <f>E198/255*B187*1.2</f>
        <v>0.48338823529411762</v>
      </c>
      <c r="F187" s="64"/>
      <c r="G187" s="64"/>
      <c r="H187" s="64"/>
      <c r="I187" s="55">
        <f t="shared" si="0"/>
        <v>165.49844236760126</v>
      </c>
      <c r="J187" s="55">
        <f>SUMIF('3-Basis ruimtestaat'!J:J,A187,'3-Basis ruimtestaat'!I:I)</f>
        <v>0</v>
      </c>
      <c r="K187" s="66" t="str">
        <f t="shared" si="12"/>
        <v/>
      </c>
      <c r="L187" s="68"/>
      <c r="M187" s="57" t="s">
        <v>127</v>
      </c>
      <c r="N187" s="69"/>
      <c r="O187" s="71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spans="1:26" ht="17" hidden="1" customHeight="1">
      <c r="A188" s="512">
        <v>11104</v>
      </c>
      <c r="B188" s="72">
        <v>104</v>
      </c>
      <c r="C188" s="115" t="s">
        <v>149</v>
      </c>
      <c r="D188" s="63" t="s">
        <v>113</v>
      </c>
      <c r="E188" s="64">
        <f>E198/255*B188*1.2</f>
        <v>0.62840470588235287</v>
      </c>
      <c r="F188" s="64"/>
      <c r="G188" s="64"/>
      <c r="H188" s="64"/>
      <c r="I188" s="55">
        <f t="shared" si="0"/>
        <v>165.49844236760126</v>
      </c>
      <c r="J188" s="55">
        <f>SUMIF('3-Basis ruimtestaat'!J:J,A188,'3-Basis ruimtestaat'!I:I)</f>
        <v>0</v>
      </c>
      <c r="K188" s="66" t="str">
        <f t="shared" si="12"/>
        <v/>
      </c>
      <c r="L188" s="68"/>
      <c r="M188" s="57" t="s">
        <v>127</v>
      </c>
      <c r="N188" s="69"/>
      <c r="O188" s="71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spans="1:26" ht="17" hidden="1" customHeight="1">
      <c r="A189" s="512">
        <v>11120</v>
      </c>
      <c r="B189" s="72">
        <v>120</v>
      </c>
      <c r="C189" s="115" t="s">
        <v>149</v>
      </c>
      <c r="D189" s="63" t="s">
        <v>114</v>
      </c>
      <c r="E189" s="64">
        <f>E198/255*B189*1.2</f>
        <v>0.72508235294117651</v>
      </c>
      <c r="F189" s="64"/>
      <c r="G189" s="64"/>
      <c r="H189" s="64"/>
      <c r="I189" s="55">
        <f t="shared" si="0"/>
        <v>165.49844236760123</v>
      </c>
      <c r="J189" s="55">
        <f>SUMIF('3-Basis ruimtestaat'!J:J,A189,'3-Basis ruimtestaat'!I:I)</f>
        <v>0</v>
      </c>
      <c r="K189" s="66" t="str">
        <f t="shared" si="12"/>
        <v/>
      </c>
      <c r="L189" s="68"/>
      <c r="M189" s="57" t="s">
        <v>127</v>
      </c>
      <c r="N189" s="69"/>
      <c r="O189" s="84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spans="1:26" ht="17" hidden="1" customHeight="1">
      <c r="A190" s="512">
        <v>11130</v>
      </c>
      <c r="B190" s="72">
        <v>130</v>
      </c>
      <c r="C190" s="115" t="s">
        <v>149</v>
      </c>
      <c r="D190" s="63" t="s">
        <v>115</v>
      </c>
      <c r="E190" s="64">
        <f>E198/255*B190*1.1</f>
        <v>0.72004705882352948</v>
      </c>
      <c r="F190" s="64"/>
      <c r="G190" s="64"/>
      <c r="H190" s="64"/>
      <c r="I190" s="55">
        <f t="shared" si="0"/>
        <v>180.54375531011044</v>
      </c>
      <c r="J190" s="55">
        <f>SUMIF('3-Basis ruimtestaat'!J:J,A190,'3-Basis ruimtestaat'!I:I)</f>
        <v>0</v>
      </c>
      <c r="K190" s="66" t="str">
        <f t="shared" si="12"/>
        <v/>
      </c>
      <c r="L190" s="68"/>
      <c r="M190" s="57" t="s">
        <v>127</v>
      </c>
      <c r="N190" s="69"/>
      <c r="O190" s="84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spans="1:26" ht="17" hidden="1" customHeight="1">
      <c r="A191" s="512">
        <v>11156</v>
      </c>
      <c r="B191" s="72">
        <v>156</v>
      </c>
      <c r="C191" s="115" t="s">
        <v>149</v>
      </c>
      <c r="D191" s="63" t="s">
        <v>117</v>
      </c>
      <c r="E191" s="64">
        <f>E198/255*B191*1.1</f>
        <v>0.86405647058823531</v>
      </c>
      <c r="F191" s="64"/>
      <c r="G191" s="64"/>
      <c r="H191" s="64"/>
      <c r="I191" s="55">
        <f t="shared" si="0"/>
        <v>180.54375531011044</v>
      </c>
      <c r="J191" s="55">
        <f>SUMIF('3-Basis ruimtestaat'!J:J,A191,'3-Basis ruimtestaat'!I:I)</f>
        <v>0</v>
      </c>
      <c r="K191" s="66" t="str">
        <f t="shared" si="12"/>
        <v/>
      </c>
      <c r="L191" s="68"/>
      <c r="M191" s="57" t="s">
        <v>127</v>
      </c>
      <c r="N191" s="69"/>
      <c r="O191" s="71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spans="1:26" ht="17" hidden="1" customHeight="1">
      <c r="A192" s="512">
        <v>11160</v>
      </c>
      <c r="B192" s="72">
        <v>160</v>
      </c>
      <c r="C192" s="115" t="s">
        <v>149</v>
      </c>
      <c r="D192" s="63" t="s">
        <v>118</v>
      </c>
      <c r="E192" s="64">
        <f>E198/255*B192</f>
        <v>0.80564705882352938</v>
      </c>
      <c r="F192" s="64"/>
      <c r="G192" s="64"/>
      <c r="H192" s="64"/>
      <c r="I192" s="55">
        <f t="shared" si="0"/>
        <v>198.5981308411215</v>
      </c>
      <c r="J192" s="55">
        <f>SUMIF('3-Basis ruimtestaat'!J:J,A192,'3-Basis ruimtestaat'!I:I)</f>
        <v>0</v>
      </c>
      <c r="K192" s="66" t="str">
        <f t="shared" si="12"/>
        <v/>
      </c>
      <c r="L192" s="68"/>
      <c r="M192" s="57" t="s">
        <v>127</v>
      </c>
      <c r="N192" s="69"/>
      <c r="O192" s="84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spans="1:26" ht="17" hidden="1" customHeight="1">
      <c r="A193" s="512">
        <v>11200</v>
      </c>
      <c r="B193" s="72">
        <v>200</v>
      </c>
      <c r="C193" s="115" t="s">
        <v>149</v>
      </c>
      <c r="D193" s="63" t="s">
        <v>119</v>
      </c>
      <c r="E193" s="64">
        <f>E198/255*B193</f>
        <v>1.0070588235294118</v>
      </c>
      <c r="F193" s="64"/>
      <c r="G193" s="64"/>
      <c r="H193" s="64"/>
      <c r="I193" s="55">
        <f t="shared" si="0"/>
        <v>198.5981308411215</v>
      </c>
      <c r="J193" s="55">
        <f>SUMIF('3-Basis ruimtestaat'!J:J,A193,'3-Basis ruimtestaat'!I:I)</f>
        <v>0</v>
      </c>
      <c r="K193" s="66" t="str">
        <f t="shared" si="12"/>
        <v/>
      </c>
      <c r="L193" s="68"/>
      <c r="M193" s="57" t="s">
        <v>127</v>
      </c>
      <c r="N193" s="69"/>
      <c r="O193" s="71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spans="1:26" ht="17" customHeight="1">
      <c r="A194" s="512">
        <v>11205</v>
      </c>
      <c r="B194" s="72">
        <v>205</v>
      </c>
      <c r="C194" s="115" t="s">
        <v>149</v>
      </c>
      <c r="D194" s="380" t="s">
        <v>120</v>
      </c>
      <c r="E194" s="64">
        <f>E198/255*B194*1.05</f>
        <v>1.0838470588235296</v>
      </c>
      <c r="F194" s="64"/>
      <c r="G194" s="64"/>
      <c r="H194" s="64"/>
      <c r="I194" s="55">
        <f t="shared" si="0"/>
        <v>189.14107699154425</v>
      </c>
      <c r="J194" s="55">
        <f>SUMIF('3-Basis ruimtestaat'!J:J,A194,'3-Basis ruimtestaat'!I:I)</f>
        <v>86.32</v>
      </c>
      <c r="K194" s="66">
        <f t="shared" si="12"/>
        <v>6.4634416449009724E-3</v>
      </c>
      <c r="L194" s="68"/>
      <c r="M194" s="57" t="s">
        <v>127</v>
      </c>
      <c r="N194" s="69"/>
      <c r="O194" s="84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spans="1:26" ht="17" hidden="1" customHeight="1">
      <c r="A195" s="512">
        <v>11210</v>
      </c>
      <c r="B195" s="72">
        <v>210</v>
      </c>
      <c r="C195" s="115" t="s">
        <v>149</v>
      </c>
      <c r="D195" s="63" t="s">
        <v>121</v>
      </c>
      <c r="E195" s="64">
        <f>E198/255*B195</f>
        <v>1.0574117647058823</v>
      </c>
      <c r="F195" s="64"/>
      <c r="G195" s="64"/>
      <c r="H195" s="64"/>
      <c r="I195" s="55">
        <f t="shared" si="0"/>
        <v>198.5981308411215</v>
      </c>
      <c r="J195" s="55">
        <f>SUMIF('3-Basis ruimtestaat'!J:J,A195,'3-Basis ruimtestaat'!I:I)</f>
        <v>0</v>
      </c>
      <c r="K195" s="66" t="str">
        <f t="shared" si="12"/>
        <v/>
      </c>
      <c r="L195" s="68"/>
      <c r="M195" s="57" t="s">
        <v>127</v>
      </c>
      <c r="N195" s="69"/>
      <c r="O195" s="71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spans="1:26" ht="17" hidden="1" customHeight="1">
      <c r="A196" s="512">
        <v>11230</v>
      </c>
      <c r="B196" s="72">
        <v>230</v>
      </c>
      <c r="C196" s="115" t="s">
        <v>149</v>
      </c>
      <c r="D196" s="63" t="s">
        <v>122</v>
      </c>
      <c r="E196" s="64">
        <f>E198/255*B196</f>
        <v>1.1581176470588235</v>
      </c>
      <c r="F196" s="64"/>
      <c r="G196" s="64"/>
      <c r="H196" s="64"/>
      <c r="I196" s="55">
        <f t="shared" ref="I196:I197" si="16">IF(E196=0,0,B196/(E196+F196+G196+H196))</f>
        <v>198.5981308411215</v>
      </c>
      <c r="J196" s="55">
        <f>SUMIF('3-Basis ruimtestaat'!J:J,A196,'3-Basis ruimtestaat'!I:I)</f>
        <v>0</v>
      </c>
      <c r="K196" s="66" t="str">
        <f t="shared" si="12"/>
        <v/>
      </c>
      <c r="L196" s="68"/>
      <c r="M196" s="57" t="s">
        <v>127</v>
      </c>
      <c r="N196" s="69"/>
      <c r="O196" s="71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spans="1:26" ht="17" hidden="1" customHeight="1">
      <c r="A197" s="512">
        <v>11245</v>
      </c>
      <c r="B197" s="72">
        <v>245</v>
      </c>
      <c r="C197" s="115" t="s">
        <v>149</v>
      </c>
      <c r="D197" s="63" t="s">
        <v>123</v>
      </c>
      <c r="E197" s="64">
        <f>E198/255*B197</f>
        <v>1.2336470588235293</v>
      </c>
      <c r="F197" s="64"/>
      <c r="G197" s="64"/>
      <c r="H197" s="64"/>
      <c r="I197" s="55">
        <f t="shared" si="16"/>
        <v>198.5981308411215</v>
      </c>
      <c r="J197" s="55">
        <f>SUMIF('3-Basis ruimtestaat'!J:J,A197,'3-Basis ruimtestaat'!I:I)</f>
        <v>0</v>
      </c>
      <c r="K197" s="66" t="str">
        <f t="shared" si="12"/>
        <v/>
      </c>
      <c r="L197" s="68"/>
      <c r="M197" s="57" t="s">
        <v>127</v>
      </c>
      <c r="N197" s="69"/>
      <c r="O197" s="84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spans="1:26" ht="17" customHeight="1">
      <c r="A198" s="512">
        <v>11255</v>
      </c>
      <c r="B198" s="72">
        <v>255</v>
      </c>
      <c r="C198" s="115" t="s">
        <v>149</v>
      </c>
      <c r="D198" s="63" t="s">
        <v>124</v>
      </c>
      <c r="E198" s="64">
        <f>O198*$O$9</f>
        <v>1.284</v>
      </c>
      <c r="F198" s="64"/>
      <c r="G198" s="64"/>
      <c r="H198" s="64"/>
      <c r="I198" s="55">
        <f t="shared" si="0"/>
        <v>198.5981308411215</v>
      </c>
      <c r="J198" s="55">
        <f>SUMIF('3-Basis ruimtestaat'!J:J,A198,'3-Basis ruimtestaat'!I:I)</f>
        <v>176.60999999999999</v>
      </c>
      <c r="K198" s="66">
        <f t="shared" si="12"/>
        <v>1.3224147693535226E-2</v>
      </c>
      <c r="L198" s="68"/>
      <c r="M198" s="57" t="s">
        <v>127</v>
      </c>
      <c r="N198" s="69"/>
      <c r="O198" s="92">
        <v>1.284</v>
      </c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spans="1:26" ht="17" hidden="1" customHeight="1" thickBot="1">
      <c r="A199" s="512">
        <v>11365</v>
      </c>
      <c r="B199" s="113">
        <v>365</v>
      </c>
      <c r="C199" s="115" t="s">
        <v>149</v>
      </c>
      <c r="D199" s="63" t="s">
        <v>129</v>
      </c>
      <c r="E199" s="64">
        <f>E198</f>
        <v>1.284</v>
      </c>
      <c r="F199" s="64"/>
      <c r="G199" s="64">
        <f>E199/255*104*0.8</f>
        <v>0.4189364705882353</v>
      </c>
      <c r="H199" s="64"/>
      <c r="I199" s="55">
        <f t="shared" si="0"/>
        <v>214.33565274100931</v>
      </c>
      <c r="J199" s="55">
        <f>SUMIF('3-Basis ruimtestaat'!J:J,A199,'3-Basis ruimtestaat'!I:I)</f>
        <v>0</v>
      </c>
      <c r="K199" s="66" t="str">
        <f t="shared" si="12"/>
        <v/>
      </c>
      <c r="L199" s="68"/>
      <c r="M199" s="57" t="s">
        <v>127</v>
      </c>
      <c r="N199" s="69"/>
      <c r="O199" s="71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spans="1:26" ht="17" hidden="1" customHeight="1">
      <c r="A200" s="512">
        <v>12010</v>
      </c>
      <c r="B200" s="62">
        <v>10</v>
      </c>
      <c r="C200" s="115" t="s">
        <v>150</v>
      </c>
      <c r="D200" s="63" t="s">
        <v>107</v>
      </c>
      <c r="E200" s="64">
        <f>E213/255*B200*1.5</f>
        <v>5.8823529411764705E-2</v>
      </c>
      <c r="F200" s="64"/>
      <c r="G200" s="64"/>
      <c r="H200" s="64"/>
      <c r="I200" s="55">
        <f t="shared" si="0"/>
        <v>170</v>
      </c>
      <c r="J200" s="55">
        <f>SUMIF('3-Basis ruimtestaat'!J:J,A200,'3-Basis ruimtestaat'!I:I)</f>
        <v>0</v>
      </c>
      <c r="K200" s="66" t="str">
        <f t="shared" si="12"/>
        <v/>
      </c>
      <c r="L200" s="68"/>
      <c r="M200" s="57" t="s">
        <v>136</v>
      </c>
      <c r="N200" s="69"/>
      <c r="O200" s="84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spans="1:26" ht="17" hidden="1" customHeight="1">
      <c r="A201" s="512">
        <v>12012</v>
      </c>
      <c r="B201" s="72">
        <v>12</v>
      </c>
      <c r="C201" s="115" t="s">
        <v>150</v>
      </c>
      <c r="D201" s="63" t="s">
        <v>109</v>
      </c>
      <c r="E201" s="64">
        <f>E213/255*B201*1.5</f>
        <v>7.0588235294117646E-2</v>
      </c>
      <c r="F201" s="64"/>
      <c r="G201" s="64"/>
      <c r="H201" s="64"/>
      <c r="I201" s="55">
        <f t="shared" si="0"/>
        <v>170</v>
      </c>
      <c r="J201" s="55">
        <f>SUMIF('3-Basis ruimtestaat'!J:J,A201,'3-Basis ruimtestaat'!I:I)</f>
        <v>0</v>
      </c>
      <c r="K201" s="66" t="str">
        <f t="shared" si="12"/>
        <v/>
      </c>
      <c r="L201" s="68"/>
      <c r="M201" s="57" t="s">
        <v>136</v>
      </c>
      <c r="N201" s="69"/>
      <c r="O201" s="71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spans="1:26" ht="17" hidden="1" customHeight="1">
      <c r="A202" s="512">
        <v>12040</v>
      </c>
      <c r="B202" s="72">
        <v>40</v>
      </c>
      <c r="C202" s="115" t="s">
        <v>150</v>
      </c>
      <c r="D202" s="63" t="s">
        <v>137</v>
      </c>
      <c r="E202" s="64">
        <f>E213/255*B202*1.3</f>
        <v>0.20392156862745098</v>
      </c>
      <c r="F202" s="64"/>
      <c r="G202" s="64"/>
      <c r="H202" s="64"/>
      <c r="I202" s="55">
        <f t="shared" si="0"/>
        <v>196.15384615384616</v>
      </c>
      <c r="J202" s="55">
        <f>SUMIF('3-Basis ruimtestaat'!J:J,A202,'3-Basis ruimtestaat'!I:I)</f>
        <v>0</v>
      </c>
      <c r="K202" s="66" t="str">
        <f t="shared" ref="K202:K265" si="17">IF(J202=0,"",J202/$J$482)</f>
        <v/>
      </c>
      <c r="L202" s="68"/>
      <c r="M202" s="57" t="s">
        <v>136</v>
      </c>
      <c r="N202" s="69"/>
      <c r="O202" s="71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spans="1:26" ht="17" hidden="1" customHeight="1">
      <c r="A203" s="512">
        <v>12052</v>
      </c>
      <c r="B203" s="72">
        <v>52</v>
      </c>
      <c r="C203" s="115" t="s">
        <v>150</v>
      </c>
      <c r="D203" s="63" t="s">
        <v>111</v>
      </c>
      <c r="E203" s="64">
        <f>E213/255*B203*1.4</f>
        <v>0.28549019607843135</v>
      </c>
      <c r="F203" s="64"/>
      <c r="G203" s="64"/>
      <c r="H203" s="64"/>
      <c r="I203" s="55">
        <f t="shared" si="0"/>
        <v>182.14285714285717</v>
      </c>
      <c r="J203" s="55">
        <f>SUMIF('3-Basis ruimtestaat'!J:J,A203,'3-Basis ruimtestaat'!I:I)</f>
        <v>0</v>
      </c>
      <c r="K203" s="66" t="str">
        <f t="shared" si="17"/>
        <v/>
      </c>
      <c r="L203" s="68"/>
      <c r="M203" s="57" t="s">
        <v>136</v>
      </c>
      <c r="N203" s="69"/>
      <c r="O203" s="71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spans="1:26" ht="17" hidden="1" customHeight="1">
      <c r="A204" s="512">
        <v>12080</v>
      </c>
      <c r="B204" s="72">
        <v>80</v>
      </c>
      <c r="C204" s="115" t="s">
        <v>150</v>
      </c>
      <c r="D204" s="63" t="s">
        <v>112</v>
      </c>
      <c r="E204" s="64">
        <f>E213/255*B204*1.2</f>
        <v>0.37647058823529411</v>
      </c>
      <c r="F204" s="64"/>
      <c r="G204" s="64"/>
      <c r="H204" s="64"/>
      <c r="I204" s="55">
        <f t="shared" si="0"/>
        <v>212.5</v>
      </c>
      <c r="J204" s="55">
        <f>SUMIF('3-Basis ruimtestaat'!J:J,A204,'3-Basis ruimtestaat'!I:I)</f>
        <v>0</v>
      </c>
      <c r="K204" s="66" t="str">
        <f t="shared" si="17"/>
        <v/>
      </c>
      <c r="L204" s="68"/>
      <c r="M204" s="57" t="s">
        <v>136</v>
      </c>
      <c r="N204" s="69"/>
      <c r="O204" s="71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spans="1:26" ht="17" hidden="1" customHeight="1">
      <c r="A205" s="512">
        <v>12104</v>
      </c>
      <c r="B205" s="72">
        <v>104</v>
      </c>
      <c r="C205" s="115" t="s">
        <v>150</v>
      </c>
      <c r="D205" s="63" t="s">
        <v>113</v>
      </c>
      <c r="E205" s="64">
        <f>E213/255*B205*1.2</f>
        <v>0.48941176470588232</v>
      </c>
      <c r="F205" s="64"/>
      <c r="G205" s="64"/>
      <c r="H205" s="64"/>
      <c r="I205" s="55">
        <f t="shared" si="0"/>
        <v>212.5</v>
      </c>
      <c r="J205" s="55">
        <f>SUMIF('3-Basis ruimtestaat'!J:J,A205,'3-Basis ruimtestaat'!I:I)</f>
        <v>0</v>
      </c>
      <c r="K205" s="66" t="str">
        <f t="shared" si="17"/>
        <v/>
      </c>
      <c r="L205" s="68"/>
      <c r="M205" s="57" t="s">
        <v>136</v>
      </c>
      <c r="N205" s="69"/>
      <c r="O205" s="84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spans="1:26" ht="17" hidden="1" customHeight="1">
      <c r="A206" s="512">
        <v>12120</v>
      </c>
      <c r="B206" s="72">
        <v>120</v>
      </c>
      <c r="C206" s="115" t="s">
        <v>150</v>
      </c>
      <c r="D206" s="63" t="s">
        <v>114</v>
      </c>
      <c r="E206" s="64">
        <f>E213/255*B206*1.2</f>
        <v>0.56470588235294117</v>
      </c>
      <c r="F206" s="64"/>
      <c r="G206" s="64"/>
      <c r="H206" s="64"/>
      <c r="I206" s="55">
        <f t="shared" si="0"/>
        <v>212.5</v>
      </c>
      <c r="J206" s="55">
        <f>SUMIF('3-Basis ruimtestaat'!J:J,A206,'3-Basis ruimtestaat'!I:I)</f>
        <v>0</v>
      </c>
      <c r="K206" s="66" t="str">
        <f t="shared" si="17"/>
        <v/>
      </c>
      <c r="L206" s="68"/>
      <c r="M206" s="57" t="s">
        <v>136</v>
      </c>
      <c r="N206" s="69"/>
      <c r="O206" s="84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spans="1:26" ht="17" hidden="1" customHeight="1">
      <c r="A207" s="512">
        <v>12130</v>
      </c>
      <c r="B207" s="72">
        <v>130</v>
      </c>
      <c r="C207" s="115" t="s">
        <v>150</v>
      </c>
      <c r="D207" s="63" t="s">
        <v>115</v>
      </c>
      <c r="E207" s="64">
        <f>E213/255*B207*1.1</f>
        <v>0.5607843137254902</v>
      </c>
      <c r="F207" s="64"/>
      <c r="G207" s="64"/>
      <c r="H207" s="64"/>
      <c r="I207" s="55">
        <f t="shared" si="0"/>
        <v>231.81818181818181</v>
      </c>
      <c r="J207" s="55">
        <f>SUMIF('3-Basis ruimtestaat'!J:J,A207,'3-Basis ruimtestaat'!I:I)</f>
        <v>0</v>
      </c>
      <c r="K207" s="66" t="str">
        <f t="shared" si="17"/>
        <v/>
      </c>
      <c r="L207" s="68"/>
      <c r="M207" s="57" t="s">
        <v>136</v>
      </c>
      <c r="N207" s="69"/>
      <c r="O207" s="84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spans="1:26" ht="17" hidden="1" customHeight="1">
      <c r="A208" s="512">
        <v>12156</v>
      </c>
      <c r="B208" s="72">
        <v>156</v>
      </c>
      <c r="C208" s="115" t="s">
        <v>150</v>
      </c>
      <c r="D208" s="63" t="s">
        <v>117</v>
      </c>
      <c r="E208" s="64">
        <f>E213/255*B208*1.1</f>
        <v>0.67294117647058838</v>
      </c>
      <c r="F208" s="64"/>
      <c r="G208" s="64"/>
      <c r="H208" s="64"/>
      <c r="I208" s="55">
        <f t="shared" si="0"/>
        <v>231.81818181818176</v>
      </c>
      <c r="J208" s="55">
        <f>SUMIF('3-Basis ruimtestaat'!J:J,A208,'3-Basis ruimtestaat'!I:I)</f>
        <v>0</v>
      </c>
      <c r="K208" s="66" t="str">
        <f t="shared" si="17"/>
        <v/>
      </c>
      <c r="L208" s="68"/>
      <c r="M208" s="57" t="s">
        <v>136</v>
      </c>
      <c r="N208" s="69"/>
      <c r="O208" s="71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spans="1:26" ht="17" hidden="1" customHeight="1">
      <c r="A209" s="512">
        <v>12160</v>
      </c>
      <c r="B209" s="72">
        <v>160</v>
      </c>
      <c r="C209" s="115" t="s">
        <v>150</v>
      </c>
      <c r="D209" s="63" t="s">
        <v>118</v>
      </c>
      <c r="E209" s="64">
        <f>E213/255*B209</f>
        <v>0.62745098039215685</v>
      </c>
      <c r="F209" s="64"/>
      <c r="G209" s="64"/>
      <c r="H209" s="64"/>
      <c r="I209" s="55">
        <f t="shared" si="0"/>
        <v>255</v>
      </c>
      <c r="J209" s="55">
        <f>SUMIF('3-Basis ruimtestaat'!J:J,A209,'3-Basis ruimtestaat'!I:I)</f>
        <v>0</v>
      </c>
      <c r="K209" s="66" t="str">
        <f t="shared" si="17"/>
        <v/>
      </c>
      <c r="L209" s="68"/>
      <c r="M209" s="57" t="s">
        <v>136</v>
      </c>
      <c r="N209" s="69"/>
      <c r="O209" s="84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spans="1:26" ht="17" hidden="1" customHeight="1">
      <c r="A210" s="512">
        <v>12200</v>
      </c>
      <c r="B210" s="72">
        <v>200</v>
      </c>
      <c r="C210" s="115" t="s">
        <v>150</v>
      </c>
      <c r="D210" s="63" t="s">
        <v>119</v>
      </c>
      <c r="E210" s="64">
        <f>E213/255*B210</f>
        <v>0.78431372549019607</v>
      </c>
      <c r="F210" s="64"/>
      <c r="G210" s="64"/>
      <c r="H210" s="64"/>
      <c r="I210" s="55">
        <f t="shared" si="0"/>
        <v>255</v>
      </c>
      <c r="J210" s="55">
        <f>SUMIF('3-Basis ruimtestaat'!J:J,A210,'3-Basis ruimtestaat'!I:I)</f>
        <v>0</v>
      </c>
      <c r="K210" s="66" t="str">
        <f t="shared" si="17"/>
        <v/>
      </c>
      <c r="L210" s="68"/>
      <c r="M210" s="57" t="s">
        <v>136</v>
      </c>
      <c r="N210" s="69"/>
      <c r="O210" s="84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spans="1:26" ht="17" hidden="1" customHeight="1">
      <c r="A211" s="512">
        <v>12208</v>
      </c>
      <c r="B211" s="72">
        <v>208</v>
      </c>
      <c r="C211" s="115" t="s">
        <v>150</v>
      </c>
      <c r="D211" s="63" t="s">
        <v>139</v>
      </c>
      <c r="E211" s="64">
        <f>E213/255*B211*1.05</f>
        <v>0.85647058823529409</v>
      </c>
      <c r="F211" s="64"/>
      <c r="G211" s="64"/>
      <c r="H211" s="64"/>
      <c r="I211" s="55">
        <f t="shared" si="0"/>
        <v>242.85714285714286</v>
      </c>
      <c r="J211" s="55">
        <f>SUMIF('3-Basis ruimtestaat'!J:J,A211,'3-Basis ruimtestaat'!I:I)</f>
        <v>0</v>
      </c>
      <c r="K211" s="66" t="str">
        <f t="shared" si="17"/>
        <v/>
      </c>
      <c r="L211" s="68"/>
      <c r="M211" s="57" t="s">
        <v>136</v>
      </c>
      <c r="N211" s="69"/>
      <c r="O211" s="71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spans="1:26" ht="17" hidden="1" customHeight="1">
      <c r="A212" s="512">
        <v>12210</v>
      </c>
      <c r="B212" s="72">
        <v>210</v>
      </c>
      <c r="C212" s="115" t="s">
        <v>150</v>
      </c>
      <c r="D212" s="63" t="s">
        <v>121</v>
      </c>
      <c r="E212" s="64">
        <f>E213/255*B212</f>
        <v>0.82352941176470584</v>
      </c>
      <c r="F212" s="64"/>
      <c r="G212" s="64"/>
      <c r="H212" s="64"/>
      <c r="I212" s="55">
        <f t="shared" ref="I212" si="18">IF(E212=0,0,B212/(E212+F212+G212+H212))</f>
        <v>255</v>
      </c>
      <c r="J212" s="55">
        <f>SUMIF('3-Basis ruimtestaat'!J:J,A212,'3-Basis ruimtestaat'!I:I)</f>
        <v>0</v>
      </c>
      <c r="K212" s="66" t="str">
        <f t="shared" si="17"/>
        <v/>
      </c>
      <c r="L212" s="68"/>
      <c r="M212" s="57" t="s">
        <v>136</v>
      </c>
      <c r="N212" s="69"/>
      <c r="O212" s="84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spans="1:26" ht="17" hidden="1" customHeight="1">
      <c r="A213" s="512">
        <v>12255</v>
      </c>
      <c r="B213" s="72">
        <v>255</v>
      </c>
      <c r="C213" s="115" t="s">
        <v>150</v>
      </c>
      <c r="D213" s="63" t="s">
        <v>124</v>
      </c>
      <c r="E213" s="64">
        <f>O213*$O$9</f>
        <v>1</v>
      </c>
      <c r="F213" s="64"/>
      <c r="G213" s="64"/>
      <c r="H213" s="64"/>
      <c r="I213" s="55">
        <f t="shared" si="0"/>
        <v>255</v>
      </c>
      <c r="J213" s="55">
        <f>SUMIF('3-Basis ruimtestaat'!J:J,A213,'3-Basis ruimtestaat'!I:I)</f>
        <v>0</v>
      </c>
      <c r="K213" s="66" t="str">
        <f t="shared" si="17"/>
        <v/>
      </c>
      <c r="L213" s="68"/>
      <c r="M213" s="57" t="s">
        <v>136</v>
      </c>
      <c r="N213" s="69"/>
      <c r="O213" s="92">
        <v>1</v>
      </c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spans="1:26" ht="17" hidden="1" customHeight="1" thickBot="1">
      <c r="A214" s="512">
        <v>12365</v>
      </c>
      <c r="B214" s="113">
        <v>365</v>
      </c>
      <c r="C214" s="115" t="s">
        <v>150</v>
      </c>
      <c r="D214" s="63" t="s">
        <v>129</v>
      </c>
      <c r="E214" s="64">
        <f>E213</f>
        <v>1</v>
      </c>
      <c r="F214" s="64"/>
      <c r="G214" s="64">
        <f>E214/255*104*0.8</f>
        <v>0.32627450980392159</v>
      </c>
      <c r="H214" s="64"/>
      <c r="I214" s="55">
        <f t="shared" si="0"/>
        <v>275.20697811945598</v>
      </c>
      <c r="J214" s="55">
        <f>SUMIF('3-Basis ruimtestaat'!J:J,A214,'3-Basis ruimtestaat'!I:I)</f>
        <v>0</v>
      </c>
      <c r="K214" s="66" t="str">
        <f t="shared" si="17"/>
        <v/>
      </c>
      <c r="L214" s="68"/>
      <c r="M214" s="57" t="s">
        <v>136</v>
      </c>
      <c r="N214" s="69"/>
      <c r="O214" s="71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spans="1:26" ht="17" hidden="1" customHeight="1">
      <c r="A215" s="512">
        <v>13010</v>
      </c>
      <c r="B215" s="62">
        <v>10</v>
      </c>
      <c r="C215" s="116" t="s">
        <v>151</v>
      </c>
      <c r="D215" s="63" t="s">
        <v>107</v>
      </c>
      <c r="E215" s="64">
        <f>E230/255*B215*1.5</f>
        <v>3.9411764705882354E-2</v>
      </c>
      <c r="F215" s="64"/>
      <c r="G215" s="64"/>
      <c r="H215" s="64"/>
      <c r="I215" s="55">
        <f t="shared" si="0"/>
        <v>253.73134328358208</v>
      </c>
      <c r="J215" s="55">
        <f>SUMIF('3-Basis ruimtestaat'!J:J,A215,'3-Basis ruimtestaat'!I:I)</f>
        <v>0</v>
      </c>
      <c r="K215" s="66" t="str">
        <f t="shared" si="17"/>
        <v/>
      </c>
      <c r="L215" s="68"/>
      <c r="M215" s="57" t="s">
        <v>152</v>
      </c>
      <c r="N215" s="69"/>
      <c r="O215" s="71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spans="1:26" ht="17" hidden="1" customHeight="1">
      <c r="A216" s="512">
        <v>13012</v>
      </c>
      <c r="B216" s="72">
        <v>12</v>
      </c>
      <c r="C216" s="116" t="s">
        <v>151</v>
      </c>
      <c r="D216" s="63" t="s">
        <v>109</v>
      </c>
      <c r="E216" s="64">
        <f>E230/255*B216*1.5</f>
        <v>4.7294117647058834E-2</v>
      </c>
      <c r="F216" s="64"/>
      <c r="G216" s="64"/>
      <c r="H216" s="64"/>
      <c r="I216" s="55">
        <f t="shared" si="0"/>
        <v>253.73134328358202</v>
      </c>
      <c r="J216" s="55">
        <f>SUMIF('3-Basis ruimtestaat'!J:J,A216,'3-Basis ruimtestaat'!I:I)</f>
        <v>0</v>
      </c>
      <c r="K216" s="66" t="str">
        <f t="shared" si="17"/>
        <v/>
      </c>
      <c r="L216" s="68"/>
      <c r="M216" s="57" t="s">
        <v>152</v>
      </c>
      <c r="N216" s="69"/>
      <c r="O216" s="84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spans="1:26" ht="17" hidden="1" customHeight="1">
      <c r="A217" s="512">
        <v>13040</v>
      </c>
      <c r="B217" s="72">
        <v>40</v>
      </c>
      <c r="C217" s="116" t="s">
        <v>151</v>
      </c>
      <c r="D217" s="63" t="s">
        <v>137</v>
      </c>
      <c r="E217" s="64">
        <f>E230/255*B217*1.3</f>
        <v>0.13662745098039217</v>
      </c>
      <c r="F217" s="64"/>
      <c r="G217" s="64"/>
      <c r="H217" s="64"/>
      <c r="I217" s="55">
        <f t="shared" si="0"/>
        <v>292.76693455797931</v>
      </c>
      <c r="J217" s="55">
        <f>SUMIF('3-Basis ruimtestaat'!J:J,A217,'3-Basis ruimtestaat'!I:I)</f>
        <v>0</v>
      </c>
      <c r="K217" s="66" t="str">
        <f t="shared" si="17"/>
        <v/>
      </c>
      <c r="L217" s="68"/>
      <c r="M217" s="57" t="s">
        <v>152</v>
      </c>
      <c r="N217" s="69"/>
      <c r="O217" s="84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spans="1:26" ht="17" hidden="1" customHeight="1">
      <c r="A218" s="512">
        <v>13052</v>
      </c>
      <c r="B218" s="72">
        <v>52</v>
      </c>
      <c r="C218" s="116" t="s">
        <v>151</v>
      </c>
      <c r="D218" s="63" t="s">
        <v>111</v>
      </c>
      <c r="E218" s="64">
        <f>E230/255*B218*1.4</f>
        <v>0.19127843137254902</v>
      </c>
      <c r="F218" s="64"/>
      <c r="G218" s="64"/>
      <c r="H218" s="64"/>
      <c r="I218" s="55">
        <f t="shared" si="0"/>
        <v>271.85501066098084</v>
      </c>
      <c r="J218" s="55">
        <f>SUMIF('3-Basis ruimtestaat'!J:J,A218,'3-Basis ruimtestaat'!I:I)</f>
        <v>0</v>
      </c>
      <c r="K218" s="66" t="str">
        <f t="shared" si="17"/>
        <v/>
      </c>
      <c r="L218" s="68"/>
      <c r="M218" s="57" t="s">
        <v>152</v>
      </c>
      <c r="N218" s="69"/>
      <c r="O218" s="84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spans="1:26" ht="17" hidden="1" customHeight="1">
      <c r="A219" s="512">
        <v>13080</v>
      </c>
      <c r="B219" s="72">
        <v>80</v>
      </c>
      <c r="C219" s="116" t="s">
        <v>151</v>
      </c>
      <c r="D219" s="63" t="s">
        <v>112</v>
      </c>
      <c r="E219" s="64">
        <f>E230/255*B219*1.2</f>
        <v>0.25223529411764706</v>
      </c>
      <c r="F219" s="64"/>
      <c r="G219" s="64"/>
      <c r="H219" s="64"/>
      <c r="I219" s="55">
        <f t="shared" si="0"/>
        <v>317.16417910447763</v>
      </c>
      <c r="J219" s="55">
        <f>SUMIF('3-Basis ruimtestaat'!J:J,A219,'3-Basis ruimtestaat'!I:I)</f>
        <v>0</v>
      </c>
      <c r="K219" s="66" t="str">
        <f t="shared" si="17"/>
        <v/>
      </c>
      <c r="L219" s="68"/>
      <c r="M219" s="57" t="s">
        <v>152</v>
      </c>
      <c r="N219" s="69"/>
      <c r="O219" s="84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spans="1:26" ht="17" hidden="1" customHeight="1">
      <c r="A220" s="512">
        <v>13104</v>
      </c>
      <c r="B220" s="72">
        <v>104</v>
      </c>
      <c r="C220" s="116" t="s">
        <v>151</v>
      </c>
      <c r="D220" s="63" t="s">
        <v>113</v>
      </c>
      <c r="E220" s="64">
        <f>E230/255*B220*1.2</f>
        <v>0.32790588235294121</v>
      </c>
      <c r="F220" s="117"/>
      <c r="G220" s="117"/>
      <c r="H220" s="64"/>
      <c r="I220" s="55">
        <f t="shared" si="0"/>
        <v>317.16417910447757</v>
      </c>
      <c r="J220" s="55">
        <f>SUMIF('3-Basis ruimtestaat'!J:J,A220,'3-Basis ruimtestaat'!I:I)</f>
        <v>0</v>
      </c>
      <c r="K220" s="66" t="str">
        <f t="shared" si="17"/>
        <v/>
      </c>
      <c r="L220" s="68"/>
      <c r="M220" s="57" t="s">
        <v>152</v>
      </c>
      <c r="N220" s="69"/>
      <c r="O220" s="71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spans="1:26" ht="17" hidden="1" customHeight="1">
      <c r="A221" s="512">
        <v>13120</v>
      </c>
      <c r="B221" s="72">
        <v>120</v>
      </c>
      <c r="C221" s="116" t="s">
        <v>151</v>
      </c>
      <c r="D221" s="63" t="s">
        <v>114</v>
      </c>
      <c r="E221" s="64">
        <f>E230/255*B221*1.2</f>
        <v>0.37835294117647061</v>
      </c>
      <c r="F221" s="117"/>
      <c r="G221" s="117"/>
      <c r="H221" s="64"/>
      <c r="I221" s="55">
        <f t="shared" si="0"/>
        <v>317.16417910447757</v>
      </c>
      <c r="J221" s="55">
        <f>SUMIF('3-Basis ruimtestaat'!J:J,A221,'3-Basis ruimtestaat'!I:I)</f>
        <v>0</v>
      </c>
      <c r="K221" s="66" t="str">
        <f t="shared" si="17"/>
        <v/>
      </c>
      <c r="L221" s="68"/>
      <c r="M221" s="57" t="s">
        <v>152</v>
      </c>
      <c r="N221" s="69"/>
      <c r="O221" s="71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spans="1:26" ht="17" hidden="1" customHeight="1">
      <c r="A222" s="512">
        <v>13130</v>
      </c>
      <c r="B222" s="72">
        <v>130</v>
      </c>
      <c r="C222" s="116" t="s">
        <v>151</v>
      </c>
      <c r="D222" s="63" t="s">
        <v>115</v>
      </c>
      <c r="E222" s="64">
        <f>E230/255*B222*1.1</f>
        <v>0.37572549019607848</v>
      </c>
      <c r="F222" s="64"/>
      <c r="G222" s="64"/>
      <c r="H222" s="64"/>
      <c r="I222" s="55">
        <f t="shared" si="0"/>
        <v>345.99728629579369</v>
      </c>
      <c r="J222" s="55">
        <f>SUMIF('3-Basis ruimtestaat'!J:J,A222,'3-Basis ruimtestaat'!I:I)</f>
        <v>0</v>
      </c>
      <c r="K222" s="66" t="str">
        <f t="shared" si="17"/>
        <v/>
      </c>
      <c r="L222" s="68"/>
      <c r="M222" s="57" t="s">
        <v>152</v>
      </c>
      <c r="N222" s="69"/>
      <c r="O222" s="71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spans="1:26" ht="17" hidden="1" customHeight="1">
      <c r="A223" s="512">
        <v>13156</v>
      </c>
      <c r="B223" s="72">
        <v>156</v>
      </c>
      <c r="C223" s="116" t="s">
        <v>151</v>
      </c>
      <c r="D223" s="63" t="s">
        <v>117</v>
      </c>
      <c r="E223" s="64">
        <f>E230/255*B223*1.1</f>
        <v>0.45087058823529425</v>
      </c>
      <c r="F223" s="64"/>
      <c r="G223" s="64"/>
      <c r="H223" s="64"/>
      <c r="I223" s="55">
        <f t="shared" si="0"/>
        <v>345.99728629579369</v>
      </c>
      <c r="J223" s="55">
        <f>SUMIF('3-Basis ruimtestaat'!J:J,A223,'3-Basis ruimtestaat'!I:I)</f>
        <v>0</v>
      </c>
      <c r="K223" s="66" t="str">
        <f t="shared" si="17"/>
        <v/>
      </c>
      <c r="L223" s="68"/>
      <c r="M223" s="57" t="s">
        <v>152</v>
      </c>
      <c r="N223" s="69"/>
      <c r="O223" s="71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 spans="1:26" ht="17" hidden="1" customHeight="1">
      <c r="A224" s="512">
        <v>13160</v>
      </c>
      <c r="B224" s="72">
        <v>160</v>
      </c>
      <c r="C224" s="116" t="s">
        <v>151</v>
      </c>
      <c r="D224" s="63" t="s">
        <v>118</v>
      </c>
      <c r="E224" s="64">
        <f>E230/255*B224</f>
        <v>0.42039215686274511</v>
      </c>
      <c r="F224" s="64"/>
      <c r="G224" s="64"/>
      <c r="H224" s="64"/>
      <c r="I224" s="55">
        <f t="shared" si="0"/>
        <v>380.59701492537312</v>
      </c>
      <c r="J224" s="55">
        <f>SUMIF('3-Basis ruimtestaat'!J:J,A224,'3-Basis ruimtestaat'!I:I)</f>
        <v>0</v>
      </c>
      <c r="K224" s="66" t="str">
        <f t="shared" si="17"/>
        <v/>
      </c>
      <c r="L224" s="68"/>
      <c r="M224" s="57" t="s">
        <v>152</v>
      </c>
      <c r="N224" s="69"/>
      <c r="O224" s="71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 spans="1:26" ht="17" hidden="1" customHeight="1">
      <c r="A225" s="512">
        <v>13200</v>
      </c>
      <c r="B225" s="72">
        <v>200</v>
      </c>
      <c r="C225" s="116" t="s">
        <v>151</v>
      </c>
      <c r="D225" s="63" t="s">
        <v>119</v>
      </c>
      <c r="E225" s="64">
        <f>E230/255*B225</f>
        <v>0.52549019607843139</v>
      </c>
      <c r="F225" s="64"/>
      <c r="G225" s="64"/>
      <c r="H225" s="64"/>
      <c r="I225" s="55">
        <f t="shared" si="0"/>
        <v>380.59701492537312</v>
      </c>
      <c r="J225" s="55">
        <f>SUMIF('3-Basis ruimtestaat'!J:J,A225,'3-Basis ruimtestaat'!I:I)</f>
        <v>0</v>
      </c>
      <c r="K225" s="66" t="str">
        <f t="shared" si="17"/>
        <v/>
      </c>
      <c r="L225" s="68"/>
      <c r="M225" s="57" t="s">
        <v>152</v>
      </c>
      <c r="N225" s="69"/>
      <c r="O225" s="71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 spans="1:26" ht="17" hidden="1" customHeight="1">
      <c r="A226" s="512">
        <v>13208</v>
      </c>
      <c r="B226" s="72">
        <v>208</v>
      </c>
      <c r="C226" s="116" t="s">
        <v>151</v>
      </c>
      <c r="D226" s="63" t="s">
        <v>139</v>
      </c>
      <c r="E226" s="64">
        <f>E230/255*B226*1.05</f>
        <v>0.57383529411764711</v>
      </c>
      <c r="F226" s="64"/>
      <c r="G226" s="64"/>
      <c r="H226" s="64"/>
      <c r="I226" s="55">
        <f t="shared" si="0"/>
        <v>362.47334754797436</v>
      </c>
      <c r="J226" s="55">
        <f>SUMIF('3-Basis ruimtestaat'!J:J,A226,'3-Basis ruimtestaat'!I:I)</f>
        <v>0</v>
      </c>
      <c r="K226" s="66" t="str">
        <f t="shared" si="17"/>
        <v/>
      </c>
      <c r="L226" s="68"/>
      <c r="M226" s="57" t="s">
        <v>152</v>
      </c>
      <c r="N226" s="69"/>
      <c r="O226" s="71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 spans="1:26" ht="17" hidden="1" customHeight="1">
      <c r="A227" s="512">
        <v>13210</v>
      </c>
      <c r="B227" s="72">
        <v>210</v>
      </c>
      <c r="C227" s="116" t="s">
        <v>151</v>
      </c>
      <c r="D227" s="63" t="s">
        <v>121</v>
      </c>
      <c r="E227" s="64">
        <f>E230/255*B227</f>
        <v>0.55176470588235305</v>
      </c>
      <c r="F227" s="64"/>
      <c r="G227" s="64"/>
      <c r="H227" s="64"/>
      <c r="I227" s="55">
        <f t="shared" si="0"/>
        <v>380.59701492537306</v>
      </c>
      <c r="J227" s="55">
        <f>SUMIF('3-Basis ruimtestaat'!J:J,A227,'3-Basis ruimtestaat'!I:I)</f>
        <v>0</v>
      </c>
      <c r="K227" s="66" t="str">
        <f t="shared" si="17"/>
        <v/>
      </c>
      <c r="L227" s="68"/>
      <c r="M227" s="57" t="s">
        <v>152</v>
      </c>
      <c r="N227" s="69"/>
      <c r="O227" s="71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 spans="1:26" ht="17" hidden="1" customHeight="1">
      <c r="A228" s="512">
        <v>13225</v>
      </c>
      <c r="B228" s="72">
        <v>225</v>
      </c>
      <c r="C228" s="116" t="s">
        <v>151</v>
      </c>
      <c r="D228" s="63" t="s">
        <v>140</v>
      </c>
      <c r="E228" s="64">
        <f>E230/255*B228</f>
        <v>0.5911764705882353</v>
      </c>
      <c r="F228" s="64"/>
      <c r="G228" s="64"/>
      <c r="H228" s="64"/>
      <c r="I228" s="55">
        <f t="shared" ref="I228:I229" si="19">IF(E228=0,0,B228/(E228+F228+G228+H228))</f>
        <v>380.59701492537312</v>
      </c>
      <c r="J228" s="55">
        <f>SUMIF('3-Basis ruimtestaat'!J:J,A228,'3-Basis ruimtestaat'!I:I)</f>
        <v>0</v>
      </c>
      <c r="K228" s="66" t="str">
        <f t="shared" si="17"/>
        <v/>
      </c>
      <c r="L228" s="68"/>
      <c r="M228" s="57" t="s">
        <v>152</v>
      </c>
      <c r="N228" s="69"/>
      <c r="O228" s="71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 spans="1:26" ht="17" hidden="1" customHeight="1">
      <c r="A229" s="512">
        <v>13245</v>
      </c>
      <c r="B229" s="72">
        <v>245</v>
      </c>
      <c r="C229" s="116" t="s">
        <v>151</v>
      </c>
      <c r="D229" s="63" t="s">
        <v>123</v>
      </c>
      <c r="E229" s="64">
        <f>E230/255*B229</f>
        <v>0.6437254901960785</v>
      </c>
      <c r="F229" s="64"/>
      <c r="G229" s="64"/>
      <c r="H229" s="64"/>
      <c r="I229" s="55">
        <f t="shared" si="19"/>
        <v>380.59701492537312</v>
      </c>
      <c r="J229" s="55">
        <f>SUMIF('3-Basis ruimtestaat'!J:J,A229,'3-Basis ruimtestaat'!I:I)</f>
        <v>0</v>
      </c>
      <c r="K229" s="66" t="str">
        <f t="shared" si="17"/>
        <v/>
      </c>
      <c r="L229" s="68"/>
      <c r="M229" s="57" t="s">
        <v>152</v>
      </c>
      <c r="N229" s="69"/>
      <c r="O229" s="84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 spans="1:26" ht="17" hidden="1" customHeight="1">
      <c r="A230" s="512">
        <v>13255</v>
      </c>
      <c r="B230" s="72">
        <v>255</v>
      </c>
      <c r="C230" s="116" t="s">
        <v>151</v>
      </c>
      <c r="D230" s="63" t="s">
        <v>124</v>
      </c>
      <c r="E230" s="64">
        <f>O230*$O$9</f>
        <v>0.67</v>
      </c>
      <c r="F230" s="64"/>
      <c r="G230" s="64"/>
      <c r="H230" s="64"/>
      <c r="I230" s="55">
        <f t="shared" si="0"/>
        <v>380.59701492537312</v>
      </c>
      <c r="J230" s="55">
        <f>SUMIF('3-Basis ruimtestaat'!J:J,A230,'3-Basis ruimtestaat'!I:I)</f>
        <v>0</v>
      </c>
      <c r="K230" s="66" t="str">
        <f t="shared" si="17"/>
        <v/>
      </c>
      <c r="L230" s="68"/>
      <c r="M230" s="57" t="s">
        <v>152</v>
      </c>
      <c r="N230" s="69"/>
      <c r="O230" s="92">
        <v>0.67</v>
      </c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 spans="1:26" ht="17" hidden="1" customHeight="1" thickBot="1">
      <c r="A231" s="512">
        <v>13365</v>
      </c>
      <c r="B231" s="93">
        <v>365</v>
      </c>
      <c r="C231" s="116" t="s">
        <v>151</v>
      </c>
      <c r="D231" s="63" t="s">
        <v>129</v>
      </c>
      <c r="E231" s="64">
        <f>E230</f>
        <v>0.67</v>
      </c>
      <c r="F231" s="64"/>
      <c r="G231" s="64">
        <f>E231/255*104*0.8</f>
        <v>0.21860392156862749</v>
      </c>
      <c r="H231" s="64"/>
      <c r="I231" s="55">
        <f t="shared" si="0"/>
        <v>410.75668376038197</v>
      </c>
      <c r="J231" s="55">
        <f>SUMIF('3-Basis ruimtestaat'!J:J,A231,'3-Basis ruimtestaat'!I:I)</f>
        <v>0</v>
      </c>
      <c r="K231" s="66" t="str">
        <f t="shared" si="17"/>
        <v/>
      </c>
      <c r="L231" s="68"/>
      <c r="M231" s="57" t="s">
        <v>152</v>
      </c>
      <c r="N231" s="69"/>
      <c r="O231" s="71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 spans="1:26" ht="17" hidden="1" customHeight="1">
      <c r="A232" s="512">
        <v>14001</v>
      </c>
      <c r="B232" s="207">
        <v>1</v>
      </c>
      <c r="C232" s="206" t="s">
        <v>153</v>
      </c>
      <c r="D232" s="63" t="s">
        <v>154</v>
      </c>
      <c r="E232" s="64">
        <f>E247/255*B232*3</f>
        <v>8.5294117647058826E-3</v>
      </c>
      <c r="F232" s="64"/>
      <c r="G232" s="64"/>
      <c r="H232" s="64"/>
      <c r="I232" s="55">
        <f t="shared" si="0"/>
        <v>117.24137931034483</v>
      </c>
      <c r="J232" s="55">
        <f>SUMIF('3-Basis ruimtestaat'!J:J,A232,'3-Basis ruimtestaat'!I:I)</f>
        <v>0</v>
      </c>
      <c r="K232" s="66" t="str">
        <f t="shared" si="17"/>
        <v/>
      </c>
      <c r="L232" s="68"/>
      <c r="M232" s="57" t="s">
        <v>136</v>
      </c>
      <c r="N232" s="69"/>
      <c r="O232" s="71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 spans="1:26" ht="17" hidden="1" customHeight="1">
      <c r="A233" s="512">
        <v>14004</v>
      </c>
      <c r="B233" s="208">
        <v>4</v>
      </c>
      <c r="C233" s="206" t="s">
        <v>153</v>
      </c>
      <c r="D233" s="63" t="s">
        <v>155</v>
      </c>
      <c r="E233" s="64">
        <f>E247/255*B233*2</f>
        <v>2.2745098039215685E-2</v>
      </c>
      <c r="F233" s="64"/>
      <c r="G233" s="64"/>
      <c r="H233" s="64"/>
      <c r="I233" s="55">
        <f t="shared" ref="I233" si="20">IF(E233=0,0,B233/(E233+F233+G233+H233))</f>
        <v>175.86206896551727</v>
      </c>
      <c r="J233" s="55">
        <f>SUMIF('3-Basis ruimtestaat'!J:J,A233,'3-Basis ruimtestaat'!I:I)</f>
        <v>0</v>
      </c>
      <c r="K233" s="66" t="str">
        <f t="shared" si="17"/>
        <v/>
      </c>
      <c r="L233" s="68"/>
      <c r="M233" s="57" t="s">
        <v>136</v>
      </c>
      <c r="N233" s="69"/>
      <c r="O233" s="71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 spans="1:26" ht="17" hidden="1" customHeight="1">
      <c r="A234" s="512">
        <v>14010</v>
      </c>
      <c r="B234" s="208">
        <v>10</v>
      </c>
      <c r="C234" s="206" t="s">
        <v>153</v>
      </c>
      <c r="D234" s="63" t="s">
        <v>107</v>
      </c>
      <c r="E234" s="64">
        <f>E247/255*B234*1.5</f>
        <v>4.2647058823529406E-2</v>
      </c>
      <c r="F234" s="64"/>
      <c r="G234" s="64"/>
      <c r="H234" s="64"/>
      <c r="I234" s="55">
        <f t="shared" si="0"/>
        <v>234.48275862068968</v>
      </c>
      <c r="J234" s="55">
        <f>SUMIF('3-Basis ruimtestaat'!J:J,A234,'3-Basis ruimtestaat'!I:I)</f>
        <v>0</v>
      </c>
      <c r="K234" s="66" t="str">
        <f t="shared" si="17"/>
        <v/>
      </c>
      <c r="L234" s="68"/>
      <c r="M234" s="57" t="s">
        <v>136</v>
      </c>
      <c r="N234" s="69"/>
      <c r="O234" s="71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 spans="1:26" ht="17" hidden="1" customHeight="1">
      <c r="A235" s="512">
        <v>14012</v>
      </c>
      <c r="B235" s="208">
        <v>12</v>
      </c>
      <c r="C235" s="206" t="s">
        <v>153</v>
      </c>
      <c r="D235" s="63" t="s">
        <v>109</v>
      </c>
      <c r="E235" s="64">
        <f>E247/255*B235*1.5</f>
        <v>5.1176470588235295E-2</v>
      </c>
      <c r="F235" s="64"/>
      <c r="G235" s="64"/>
      <c r="H235" s="64"/>
      <c r="I235" s="55">
        <f t="shared" si="0"/>
        <v>234.48275862068965</v>
      </c>
      <c r="J235" s="55">
        <f>SUMIF('3-Basis ruimtestaat'!J:J,A235,'3-Basis ruimtestaat'!I:I)</f>
        <v>0</v>
      </c>
      <c r="K235" s="66" t="str">
        <f t="shared" si="17"/>
        <v/>
      </c>
      <c r="L235" s="68"/>
      <c r="M235" s="57" t="s">
        <v>136</v>
      </c>
      <c r="N235" s="69"/>
      <c r="O235" s="71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 spans="1:26" ht="17" hidden="1" customHeight="1">
      <c r="A236" s="512">
        <v>14040</v>
      </c>
      <c r="B236" s="208">
        <v>40</v>
      </c>
      <c r="C236" s="206" t="s">
        <v>153</v>
      </c>
      <c r="D236" s="63" t="s">
        <v>137</v>
      </c>
      <c r="E236" s="64">
        <f>E247/255*B236*1.3</f>
        <v>0.14784313725490195</v>
      </c>
      <c r="F236" s="64"/>
      <c r="G236" s="64"/>
      <c r="H236" s="64"/>
      <c r="I236" s="55">
        <f t="shared" si="0"/>
        <v>270.55702917771885</v>
      </c>
      <c r="J236" s="55">
        <f>SUMIF('3-Basis ruimtestaat'!J:J,A236,'3-Basis ruimtestaat'!I:I)</f>
        <v>0</v>
      </c>
      <c r="K236" s="66" t="str">
        <f t="shared" si="17"/>
        <v/>
      </c>
      <c r="L236" s="68"/>
      <c r="M236" s="57" t="s">
        <v>136</v>
      </c>
      <c r="N236" s="69"/>
      <c r="O236" s="71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 spans="1:26" ht="17" hidden="1" customHeight="1">
      <c r="A237" s="512">
        <v>14052</v>
      </c>
      <c r="B237" s="208">
        <v>52</v>
      </c>
      <c r="C237" s="206" t="s">
        <v>153</v>
      </c>
      <c r="D237" s="63" t="s">
        <v>111</v>
      </c>
      <c r="E237" s="64">
        <f>E247/255*B237*1.4</f>
        <v>0.2069803921568627</v>
      </c>
      <c r="F237" s="64"/>
      <c r="G237" s="64"/>
      <c r="H237" s="64"/>
      <c r="I237" s="55">
        <f t="shared" si="0"/>
        <v>251.2315270935961</v>
      </c>
      <c r="J237" s="55">
        <f>SUMIF('3-Basis ruimtestaat'!J:J,A237,'3-Basis ruimtestaat'!I:I)</f>
        <v>0</v>
      </c>
      <c r="K237" s="66" t="str">
        <f t="shared" si="17"/>
        <v/>
      </c>
      <c r="L237" s="68"/>
      <c r="M237" s="57" t="s">
        <v>136</v>
      </c>
      <c r="N237" s="69"/>
      <c r="O237" s="71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 spans="1:26" ht="17" hidden="1" customHeight="1">
      <c r="A238" s="512">
        <v>14080</v>
      </c>
      <c r="B238" s="208">
        <v>80</v>
      </c>
      <c r="C238" s="206" t="s">
        <v>153</v>
      </c>
      <c r="D238" s="63" t="s">
        <v>112</v>
      </c>
      <c r="E238" s="64">
        <f>E247/255*B238*1.2</f>
        <v>0.27294117647058819</v>
      </c>
      <c r="F238" s="64"/>
      <c r="G238" s="64"/>
      <c r="H238" s="64"/>
      <c r="I238" s="55">
        <f t="shared" si="0"/>
        <v>293.10344827586209</v>
      </c>
      <c r="J238" s="55">
        <f>SUMIF('3-Basis ruimtestaat'!J:J,A238,'3-Basis ruimtestaat'!I:I)</f>
        <v>0</v>
      </c>
      <c r="K238" s="66" t="str">
        <f t="shared" si="17"/>
        <v/>
      </c>
      <c r="L238" s="68"/>
      <c r="M238" s="57" t="s">
        <v>136</v>
      </c>
      <c r="N238" s="69"/>
      <c r="O238" s="71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 spans="1:26" ht="17" hidden="1" customHeight="1">
      <c r="A239" s="512">
        <v>14104</v>
      </c>
      <c r="B239" s="208">
        <v>104</v>
      </c>
      <c r="C239" s="206" t="s">
        <v>153</v>
      </c>
      <c r="D239" s="63" t="s">
        <v>113</v>
      </c>
      <c r="E239" s="64">
        <f>E247/255*B239*1.2</f>
        <v>0.35482352941176465</v>
      </c>
      <c r="F239" s="64"/>
      <c r="G239" s="64"/>
      <c r="H239" s="64"/>
      <c r="I239" s="55">
        <f t="shared" si="0"/>
        <v>293.10344827586209</v>
      </c>
      <c r="J239" s="55">
        <f>SUMIF('3-Basis ruimtestaat'!J:J,A239,'3-Basis ruimtestaat'!I:I)</f>
        <v>0</v>
      </c>
      <c r="K239" s="66" t="str">
        <f t="shared" si="17"/>
        <v/>
      </c>
      <c r="L239" s="68"/>
      <c r="M239" s="57" t="s">
        <v>136</v>
      </c>
      <c r="N239" s="69"/>
      <c r="O239" s="71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 spans="1:26" ht="17" hidden="1" customHeight="1">
      <c r="A240" s="512">
        <v>14120</v>
      </c>
      <c r="B240" s="208">
        <v>120</v>
      </c>
      <c r="C240" s="206" t="s">
        <v>153</v>
      </c>
      <c r="D240" s="63" t="s">
        <v>114</v>
      </c>
      <c r="E240" s="64">
        <f>E247/255*B240*1.2</f>
        <v>0.40941176470588231</v>
      </c>
      <c r="F240" s="64"/>
      <c r="G240" s="64"/>
      <c r="H240" s="64"/>
      <c r="I240" s="55">
        <f t="shared" si="0"/>
        <v>293.10344827586209</v>
      </c>
      <c r="J240" s="55">
        <f>SUMIF('3-Basis ruimtestaat'!J:J,A240,'3-Basis ruimtestaat'!I:I)</f>
        <v>0</v>
      </c>
      <c r="K240" s="66" t="str">
        <f t="shared" si="17"/>
        <v/>
      </c>
      <c r="L240" s="68"/>
      <c r="M240" s="57" t="s">
        <v>136</v>
      </c>
      <c r="N240" s="69"/>
      <c r="O240" s="71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 spans="1:26" ht="17" hidden="1" customHeight="1">
      <c r="A241" s="512">
        <v>14130</v>
      </c>
      <c r="B241" s="208">
        <v>130</v>
      </c>
      <c r="C241" s="206" t="s">
        <v>153</v>
      </c>
      <c r="D241" s="63" t="s">
        <v>115</v>
      </c>
      <c r="E241" s="64">
        <f>E247/255*B241*1.1</f>
        <v>0.40656862745098038</v>
      </c>
      <c r="F241" s="64"/>
      <c r="G241" s="64"/>
      <c r="H241" s="64"/>
      <c r="I241" s="55">
        <f t="shared" si="0"/>
        <v>319.74921630094047</v>
      </c>
      <c r="J241" s="55">
        <f>SUMIF('3-Basis ruimtestaat'!J:J,A241,'3-Basis ruimtestaat'!I:I)</f>
        <v>0</v>
      </c>
      <c r="K241" s="66" t="str">
        <f t="shared" si="17"/>
        <v/>
      </c>
      <c r="L241" s="68"/>
      <c r="M241" s="57" t="s">
        <v>136</v>
      </c>
      <c r="N241" s="69"/>
      <c r="O241" s="84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 spans="1:26" ht="17" hidden="1" customHeight="1">
      <c r="A242" s="512">
        <v>14156</v>
      </c>
      <c r="B242" s="208">
        <v>156</v>
      </c>
      <c r="C242" s="206" t="s">
        <v>153</v>
      </c>
      <c r="D242" s="63" t="s">
        <v>117</v>
      </c>
      <c r="E242" s="64">
        <f>E247/255*B242*1.1</f>
        <v>0.48788235294117649</v>
      </c>
      <c r="F242" s="64"/>
      <c r="G242" s="64"/>
      <c r="H242" s="64"/>
      <c r="I242" s="55">
        <f t="shared" si="0"/>
        <v>319.74921630094042</v>
      </c>
      <c r="J242" s="55">
        <f>SUMIF('3-Basis ruimtestaat'!J:J,A242,'3-Basis ruimtestaat'!I:I)</f>
        <v>0</v>
      </c>
      <c r="K242" s="66" t="str">
        <f t="shared" si="17"/>
        <v/>
      </c>
      <c r="L242" s="68"/>
      <c r="M242" s="57" t="s">
        <v>136</v>
      </c>
      <c r="N242" s="69"/>
      <c r="O242" s="71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 spans="1:26" ht="17" hidden="1" customHeight="1">
      <c r="A243" s="512">
        <v>14160</v>
      </c>
      <c r="B243" s="208">
        <v>160</v>
      </c>
      <c r="C243" s="206" t="s">
        <v>153</v>
      </c>
      <c r="D243" s="63" t="s">
        <v>118</v>
      </c>
      <c r="E243" s="64">
        <f>E247/255*B243</f>
        <v>0.45490196078431366</v>
      </c>
      <c r="F243" s="64"/>
      <c r="G243" s="64"/>
      <c r="H243" s="64"/>
      <c r="I243" s="55">
        <f t="shared" si="0"/>
        <v>351.72413793103453</v>
      </c>
      <c r="J243" s="55">
        <f>SUMIF('3-Basis ruimtestaat'!J:J,A243,'3-Basis ruimtestaat'!I:I)</f>
        <v>0</v>
      </c>
      <c r="K243" s="66" t="str">
        <f t="shared" si="17"/>
        <v/>
      </c>
      <c r="L243" s="68"/>
      <c r="M243" s="57" t="s">
        <v>136</v>
      </c>
      <c r="N243" s="69"/>
      <c r="O243" s="71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 spans="1:26" ht="17" hidden="1" customHeight="1">
      <c r="A244" s="512">
        <v>14200</v>
      </c>
      <c r="B244" s="208">
        <v>200</v>
      </c>
      <c r="C244" s="206" t="s">
        <v>153</v>
      </c>
      <c r="D244" s="63" t="s">
        <v>119</v>
      </c>
      <c r="E244" s="64">
        <f>E247/255*B244</f>
        <v>0.56862745098039214</v>
      </c>
      <c r="F244" s="64"/>
      <c r="G244" s="64"/>
      <c r="H244" s="64"/>
      <c r="I244" s="55">
        <f t="shared" si="0"/>
        <v>351.72413793103448</v>
      </c>
      <c r="J244" s="55">
        <f>SUMIF('3-Basis ruimtestaat'!J:J,A244,'3-Basis ruimtestaat'!I:I)</f>
        <v>0</v>
      </c>
      <c r="K244" s="66" t="str">
        <f t="shared" si="17"/>
        <v/>
      </c>
      <c r="L244" s="68"/>
      <c r="M244" s="57" t="s">
        <v>136</v>
      </c>
      <c r="N244" s="69"/>
      <c r="O244" s="71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 spans="1:26" ht="17" hidden="1" customHeight="1">
      <c r="A245" s="512">
        <v>14208</v>
      </c>
      <c r="B245" s="208">
        <v>208</v>
      </c>
      <c r="C245" s="206" t="s">
        <v>153</v>
      </c>
      <c r="D245" s="63" t="s">
        <v>139</v>
      </c>
      <c r="E245" s="64">
        <f>E247/255*B245*1.05</f>
        <v>0.62094117647058822</v>
      </c>
      <c r="F245" s="64"/>
      <c r="G245" s="64"/>
      <c r="H245" s="64"/>
      <c r="I245" s="55">
        <f t="shared" si="0"/>
        <v>334.97536945812811</v>
      </c>
      <c r="J245" s="55">
        <f>SUMIF('3-Basis ruimtestaat'!J:J,A245,'3-Basis ruimtestaat'!I:I)</f>
        <v>0</v>
      </c>
      <c r="K245" s="66" t="str">
        <f t="shared" si="17"/>
        <v/>
      </c>
      <c r="L245" s="68"/>
      <c r="M245" s="57" t="s">
        <v>136</v>
      </c>
      <c r="N245" s="69"/>
      <c r="O245" s="71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 spans="1:26" ht="17" hidden="1" customHeight="1">
      <c r="A246" s="512">
        <v>14210</v>
      </c>
      <c r="B246" s="208">
        <v>210</v>
      </c>
      <c r="C246" s="206" t="s">
        <v>153</v>
      </c>
      <c r="D246" s="63" t="s">
        <v>121</v>
      </c>
      <c r="E246" s="64">
        <f>E247/255*B246</f>
        <v>0.59705882352941175</v>
      </c>
      <c r="F246" s="64"/>
      <c r="G246" s="64"/>
      <c r="H246" s="64"/>
      <c r="I246" s="55">
        <f t="shared" ref="I246" si="21">IF(E246=0,0,B246/(E246+F246+G246+H246))</f>
        <v>351.72413793103448</v>
      </c>
      <c r="J246" s="55">
        <f>SUMIF('3-Basis ruimtestaat'!J:J,A246,'3-Basis ruimtestaat'!I:I)</f>
        <v>0</v>
      </c>
      <c r="K246" s="66" t="str">
        <f t="shared" si="17"/>
        <v/>
      </c>
      <c r="L246" s="68"/>
      <c r="M246" s="57" t="s">
        <v>136</v>
      </c>
      <c r="N246" s="69"/>
      <c r="O246" s="71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 spans="1:26" ht="17" hidden="1" customHeight="1">
      <c r="A247" s="512">
        <v>14255</v>
      </c>
      <c r="B247" s="208">
        <v>255</v>
      </c>
      <c r="C247" s="206" t="s">
        <v>153</v>
      </c>
      <c r="D247" s="63" t="s">
        <v>124</v>
      </c>
      <c r="E247" s="64">
        <f>O247*$O$9</f>
        <v>0.72499999999999998</v>
      </c>
      <c r="F247" s="64"/>
      <c r="G247" s="64"/>
      <c r="H247" s="64"/>
      <c r="I247" s="55">
        <f t="shared" si="0"/>
        <v>351.72413793103448</v>
      </c>
      <c r="J247" s="55">
        <f>SUMIF('3-Basis ruimtestaat'!J:J,A247,'3-Basis ruimtestaat'!I:I)</f>
        <v>0</v>
      </c>
      <c r="K247" s="66" t="str">
        <f t="shared" si="17"/>
        <v/>
      </c>
      <c r="L247" s="68"/>
      <c r="M247" s="57" t="s">
        <v>136</v>
      </c>
      <c r="N247" s="69"/>
      <c r="O247" s="92">
        <v>0.72499999999999998</v>
      </c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 spans="1:26" ht="17" hidden="1" customHeight="1" thickBot="1">
      <c r="A248" s="512">
        <v>14365</v>
      </c>
      <c r="B248" s="209">
        <v>365</v>
      </c>
      <c r="C248" s="206" t="s">
        <v>153</v>
      </c>
      <c r="D248" s="63" t="s">
        <v>129</v>
      </c>
      <c r="E248" s="64">
        <f>E247</f>
        <v>0.72499999999999998</v>
      </c>
      <c r="F248" s="64"/>
      <c r="G248" s="64">
        <f>E248/255*104*0.8</f>
        <v>0.23654901960784314</v>
      </c>
      <c r="H248" s="64"/>
      <c r="I248" s="55">
        <f t="shared" si="0"/>
        <v>379.59583188890474</v>
      </c>
      <c r="J248" s="55">
        <f>SUMIF('3-Basis ruimtestaat'!J:J,A248,'3-Basis ruimtestaat'!I:I)</f>
        <v>0</v>
      </c>
      <c r="K248" s="66" t="str">
        <f t="shared" si="17"/>
        <v/>
      </c>
      <c r="L248" s="68"/>
      <c r="M248" s="57" t="s">
        <v>136</v>
      </c>
      <c r="N248" s="69"/>
      <c r="O248" s="84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 spans="1:26" ht="17" hidden="1" customHeight="1">
      <c r="A249" s="512">
        <v>15010</v>
      </c>
      <c r="B249" s="114">
        <v>10</v>
      </c>
      <c r="C249" s="116" t="s">
        <v>156</v>
      </c>
      <c r="D249" s="63" t="s">
        <v>107</v>
      </c>
      <c r="E249" s="64">
        <f>E262/255*B249*1.5</f>
        <v>3.2647058823529418E-2</v>
      </c>
      <c r="F249" s="64"/>
      <c r="G249" s="64"/>
      <c r="H249" s="64"/>
      <c r="I249" s="55">
        <f t="shared" si="0"/>
        <v>306.30630630630623</v>
      </c>
      <c r="J249" s="55">
        <f>SUMIF('3-Basis ruimtestaat'!J:J,A249,'3-Basis ruimtestaat'!I:I)</f>
        <v>0</v>
      </c>
      <c r="K249" s="66" t="str">
        <f t="shared" si="17"/>
        <v/>
      </c>
      <c r="L249" s="68"/>
      <c r="M249" s="57" t="s">
        <v>108</v>
      </c>
      <c r="N249" s="69"/>
      <c r="O249" s="84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 spans="1:26" ht="17" hidden="1" customHeight="1">
      <c r="A250" s="512">
        <v>15012</v>
      </c>
      <c r="B250" s="72">
        <v>12</v>
      </c>
      <c r="C250" s="116" t="s">
        <v>156</v>
      </c>
      <c r="D250" s="63" t="s">
        <v>109</v>
      </c>
      <c r="E250" s="64">
        <f>E262/255*B250*1.5</f>
        <v>3.9176470588235299E-2</v>
      </c>
      <c r="F250" s="64"/>
      <c r="G250" s="64"/>
      <c r="H250" s="64"/>
      <c r="I250" s="55">
        <f t="shared" si="0"/>
        <v>306.30630630630628</v>
      </c>
      <c r="J250" s="55">
        <f>SUMIF('3-Basis ruimtestaat'!J:J,A250,'3-Basis ruimtestaat'!I:I)</f>
        <v>0</v>
      </c>
      <c r="K250" s="66" t="str">
        <f t="shared" si="17"/>
        <v/>
      </c>
      <c r="L250" s="68"/>
      <c r="M250" s="57" t="s">
        <v>108</v>
      </c>
      <c r="N250" s="69"/>
      <c r="O250" s="71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 spans="1:26" ht="17" hidden="1" customHeight="1">
      <c r="A251" s="512">
        <v>15040</v>
      </c>
      <c r="B251" s="72">
        <v>40</v>
      </c>
      <c r="C251" s="116" t="s">
        <v>156</v>
      </c>
      <c r="D251" s="63" t="s">
        <v>137</v>
      </c>
      <c r="E251" s="64">
        <f>E262/255*B251*1.3</f>
        <v>0.11317647058823531</v>
      </c>
      <c r="F251" s="64"/>
      <c r="G251" s="64"/>
      <c r="H251" s="64"/>
      <c r="I251" s="55">
        <f t="shared" si="0"/>
        <v>353.43035343035336</v>
      </c>
      <c r="J251" s="55">
        <f>SUMIF('3-Basis ruimtestaat'!J:J,A251,'3-Basis ruimtestaat'!I:I)</f>
        <v>0</v>
      </c>
      <c r="K251" s="66" t="str">
        <f t="shared" si="17"/>
        <v/>
      </c>
      <c r="L251" s="68"/>
      <c r="M251" s="57" t="s">
        <v>108</v>
      </c>
      <c r="N251" s="69"/>
      <c r="O251" s="84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 spans="1:26" ht="17" hidden="1" customHeight="1">
      <c r="A252" s="512">
        <v>15052</v>
      </c>
      <c r="B252" s="72">
        <v>52</v>
      </c>
      <c r="C252" s="116" t="s">
        <v>156</v>
      </c>
      <c r="D252" s="63" t="s">
        <v>111</v>
      </c>
      <c r="E252" s="64">
        <f>E262/255*B252*1.4</f>
        <v>0.15844705882352941</v>
      </c>
      <c r="F252" s="64"/>
      <c r="G252" s="64"/>
      <c r="H252" s="64"/>
      <c r="I252" s="55">
        <f t="shared" si="0"/>
        <v>328.18532818532816</v>
      </c>
      <c r="J252" s="55">
        <f>SUMIF('3-Basis ruimtestaat'!J:J,A252,'3-Basis ruimtestaat'!I:I)</f>
        <v>0</v>
      </c>
      <c r="K252" s="66" t="str">
        <f t="shared" si="17"/>
        <v/>
      </c>
      <c r="L252" s="68"/>
      <c r="M252" s="57" t="s">
        <v>108</v>
      </c>
      <c r="N252" s="69"/>
      <c r="O252" s="71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 spans="1:26" ht="17" hidden="1" customHeight="1">
      <c r="A253" s="512">
        <v>15080</v>
      </c>
      <c r="B253" s="72">
        <v>80</v>
      </c>
      <c r="C253" s="116" t="s">
        <v>156</v>
      </c>
      <c r="D253" s="63" t="s">
        <v>112</v>
      </c>
      <c r="E253" s="64">
        <f>E262/255*B253*1.2</f>
        <v>0.20894117647058824</v>
      </c>
      <c r="F253" s="64"/>
      <c r="G253" s="64"/>
      <c r="H253" s="64"/>
      <c r="I253" s="55">
        <f t="shared" si="0"/>
        <v>382.88288288288288</v>
      </c>
      <c r="J253" s="55">
        <f>SUMIF('3-Basis ruimtestaat'!J:J,A253,'3-Basis ruimtestaat'!I:I)</f>
        <v>0</v>
      </c>
      <c r="K253" s="66" t="str">
        <f t="shared" si="17"/>
        <v/>
      </c>
      <c r="L253" s="68"/>
      <c r="M253" s="57" t="s">
        <v>108</v>
      </c>
      <c r="N253" s="69"/>
      <c r="O253" s="84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 spans="1:26" ht="17" customHeight="1">
      <c r="A254" s="512">
        <v>15104</v>
      </c>
      <c r="B254" s="72">
        <v>104</v>
      </c>
      <c r="C254" s="116" t="s">
        <v>156</v>
      </c>
      <c r="D254" s="63" t="s">
        <v>113</v>
      </c>
      <c r="E254" s="64">
        <f>E262/255*B254*1.2</f>
        <v>0.27162352941176471</v>
      </c>
      <c r="F254" s="64"/>
      <c r="G254" s="64"/>
      <c r="H254" s="64"/>
      <c r="I254" s="55">
        <f t="shared" si="0"/>
        <v>382.88288288288288</v>
      </c>
      <c r="J254" s="55">
        <f>SUMIF('3-Basis ruimtestaat'!J:J,A254,'3-Basis ruimtestaat'!I:I)</f>
        <v>184.48000000000002</v>
      </c>
      <c r="K254" s="66">
        <f t="shared" si="17"/>
        <v>1.3813435063152591E-2</v>
      </c>
      <c r="L254" s="68"/>
      <c r="M254" s="57" t="s">
        <v>108</v>
      </c>
      <c r="N254" s="69"/>
      <c r="O254" s="71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 spans="1:26" ht="17" hidden="1" customHeight="1">
      <c r="A255" s="512">
        <v>15120</v>
      </c>
      <c r="B255" s="72">
        <v>120</v>
      </c>
      <c r="C255" s="116" t="s">
        <v>156</v>
      </c>
      <c r="D255" s="63" t="s">
        <v>114</v>
      </c>
      <c r="E255" s="64">
        <f>E262/255*B255*1.2</f>
        <v>0.31341176470588239</v>
      </c>
      <c r="F255" s="64"/>
      <c r="G255" s="64"/>
      <c r="H255" s="64"/>
      <c r="I255" s="55">
        <f t="shared" si="0"/>
        <v>382.88288288288283</v>
      </c>
      <c r="J255" s="55">
        <f>SUMIF('3-Basis ruimtestaat'!J:J,A255,'3-Basis ruimtestaat'!I:I)</f>
        <v>0</v>
      </c>
      <c r="K255" s="66" t="str">
        <f t="shared" si="17"/>
        <v/>
      </c>
      <c r="L255" s="68"/>
      <c r="M255" s="57" t="s">
        <v>108</v>
      </c>
      <c r="N255" s="69"/>
      <c r="O255" s="71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 spans="1:26" ht="17" hidden="1" customHeight="1">
      <c r="A256" s="512">
        <v>15130</v>
      </c>
      <c r="B256" s="72">
        <v>130</v>
      </c>
      <c r="C256" s="116" t="s">
        <v>156</v>
      </c>
      <c r="D256" s="63" t="s">
        <v>115</v>
      </c>
      <c r="E256" s="64">
        <f>E262/255*B256*1.1</f>
        <v>0.31123529411764717</v>
      </c>
      <c r="F256" s="64"/>
      <c r="G256" s="64"/>
      <c r="H256" s="64"/>
      <c r="I256" s="55">
        <f t="shared" si="0"/>
        <v>417.69041769041758</v>
      </c>
      <c r="J256" s="55">
        <f>SUMIF('3-Basis ruimtestaat'!J:J,A256,'3-Basis ruimtestaat'!I:I)</f>
        <v>0</v>
      </c>
      <c r="K256" s="66" t="str">
        <f t="shared" si="17"/>
        <v/>
      </c>
      <c r="L256" s="68"/>
      <c r="M256" s="57" t="s">
        <v>108</v>
      </c>
      <c r="N256" s="69"/>
      <c r="O256" s="84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 spans="1:26" ht="17" hidden="1" customHeight="1">
      <c r="A257" s="512">
        <v>15156</v>
      </c>
      <c r="B257" s="72">
        <v>156</v>
      </c>
      <c r="C257" s="116" t="s">
        <v>156</v>
      </c>
      <c r="D257" s="63" t="s">
        <v>117</v>
      </c>
      <c r="E257" s="64">
        <f>E262/255*B257*1.1</f>
        <v>0.37348235294117654</v>
      </c>
      <c r="F257" s="64"/>
      <c r="G257" s="64"/>
      <c r="H257" s="64"/>
      <c r="I257" s="55">
        <f t="shared" si="0"/>
        <v>417.69041769041763</v>
      </c>
      <c r="J257" s="55">
        <f>SUMIF('3-Basis ruimtestaat'!J:J,A257,'3-Basis ruimtestaat'!I:I)</f>
        <v>0</v>
      </c>
      <c r="K257" s="66" t="str">
        <f t="shared" si="17"/>
        <v/>
      </c>
      <c r="L257" s="68"/>
      <c r="M257" s="57" t="s">
        <v>108</v>
      </c>
      <c r="N257" s="69"/>
      <c r="O257" s="71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 spans="1:26" ht="17" hidden="1" customHeight="1">
      <c r="A258" s="512">
        <v>15160</v>
      </c>
      <c r="B258" s="72">
        <v>160</v>
      </c>
      <c r="C258" s="116" t="s">
        <v>156</v>
      </c>
      <c r="D258" s="63" t="s">
        <v>118</v>
      </c>
      <c r="E258" s="64">
        <f>E262/255*B258</f>
        <v>0.34823529411764709</v>
      </c>
      <c r="F258" s="64"/>
      <c r="G258" s="64"/>
      <c r="H258" s="64"/>
      <c r="I258" s="55">
        <f t="shared" si="0"/>
        <v>459.45945945945942</v>
      </c>
      <c r="J258" s="55">
        <f>SUMIF('3-Basis ruimtestaat'!J:J,A258,'3-Basis ruimtestaat'!I:I)</f>
        <v>0</v>
      </c>
      <c r="K258" s="66" t="str">
        <f t="shared" si="17"/>
        <v/>
      </c>
      <c r="L258" s="68"/>
      <c r="M258" s="57" t="s">
        <v>108</v>
      </c>
      <c r="N258" s="69"/>
      <c r="O258" s="71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 spans="1:26" ht="17" hidden="1" customHeight="1">
      <c r="A259" s="512">
        <v>15200</v>
      </c>
      <c r="B259" s="72">
        <v>200</v>
      </c>
      <c r="C259" s="116" t="s">
        <v>156</v>
      </c>
      <c r="D259" s="63" t="s">
        <v>119</v>
      </c>
      <c r="E259" s="64">
        <f>E262/255*B259</f>
        <v>0.43529411764705889</v>
      </c>
      <c r="F259" s="64"/>
      <c r="G259" s="64"/>
      <c r="H259" s="64"/>
      <c r="I259" s="55">
        <f t="shared" si="0"/>
        <v>459.45945945945937</v>
      </c>
      <c r="J259" s="55">
        <f>SUMIF('3-Basis ruimtestaat'!J:J,A259,'3-Basis ruimtestaat'!I:I)</f>
        <v>0</v>
      </c>
      <c r="K259" s="66" t="str">
        <f t="shared" si="17"/>
        <v/>
      </c>
      <c r="L259" s="68"/>
      <c r="M259" s="57" t="s">
        <v>108</v>
      </c>
      <c r="N259" s="69"/>
      <c r="O259" s="71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 spans="1:26" ht="17" hidden="1" customHeight="1">
      <c r="A260" s="512">
        <v>15208</v>
      </c>
      <c r="B260" s="72">
        <v>208</v>
      </c>
      <c r="C260" s="116" t="s">
        <v>156</v>
      </c>
      <c r="D260" s="63" t="s">
        <v>139</v>
      </c>
      <c r="E260" s="64">
        <f>E262/255*B260*1.05</f>
        <v>0.47534117647058832</v>
      </c>
      <c r="F260" s="64"/>
      <c r="G260" s="64"/>
      <c r="H260" s="64"/>
      <c r="I260" s="55">
        <f t="shared" si="0"/>
        <v>437.58043758043749</v>
      </c>
      <c r="J260" s="55">
        <f>SUMIF('3-Basis ruimtestaat'!J:J,A260,'3-Basis ruimtestaat'!I:I)</f>
        <v>0</v>
      </c>
      <c r="K260" s="66" t="str">
        <f t="shared" si="17"/>
        <v/>
      </c>
      <c r="L260" s="68"/>
      <c r="M260" s="57" t="s">
        <v>108</v>
      </c>
      <c r="N260" s="69"/>
      <c r="O260" s="71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 spans="1:26" ht="17" hidden="1" customHeight="1">
      <c r="A261" s="512">
        <v>15210</v>
      </c>
      <c r="B261" s="72">
        <v>210</v>
      </c>
      <c r="C261" s="116" t="s">
        <v>156</v>
      </c>
      <c r="D261" s="63" t="s">
        <v>121</v>
      </c>
      <c r="E261" s="64">
        <f>E262/255*B261</f>
        <v>0.45705882352941185</v>
      </c>
      <c r="F261" s="64"/>
      <c r="G261" s="64"/>
      <c r="H261" s="64"/>
      <c r="I261" s="55">
        <f t="shared" ref="I261" si="22">IF(E261=0,0,B261/(E261+F261+G261+H261))</f>
        <v>459.45945945945937</v>
      </c>
      <c r="J261" s="55">
        <f>SUMIF('3-Basis ruimtestaat'!J:J,A261,'3-Basis ruimtestaat'!I:I)</f>
        <v>0</v>
      </c>
      <c r="K261" s="66" t="str">
        <f t="shared" si="17"/>
        <v/>
      </c>
      <c r="L261" s="68"/>
      <c r="M261" s="57" t="s">
        <v>108</v>
      </c>
      <c r="N261" s="69"/>
      <c r="O261" s="71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 spans="1:26" ht="17" customHeight="1">
      <c r="A262" s="512">
        <v>15255</v>
      </c>
      <c r="B262" s="72">
        <v>255</v>
      </c>
      <c r="C262" s="116" t="s">
        <v>156</v>
      </c>
      <c r="D262" s="63" t="s">
        <v>124</v>
      </c>
      <c r="E262" s="64">
        <f>O262*$O$9</f>
        <v>0.55500000000000005</v>
      </c>
      <c r="F262" s="64"/>
      <c r="G262" s="64"/>
      <c r="H262" s="64"/>
      <c r="I262" s="55">
        <f t="shared" si="0"/>
        <v>459.45945945945942</v>
      </c>
      <c r="J262" s="55">
        <f>SUMIF('3-Basis ruimtestaat'!J:J,A262,'3-Basis ruimtestaat'!I:I)</f>
        <v>487.14999999999992</v>
      </c>
      <c r="K262" s="66">
        <f t="shared" si="17"/>
        <v>3.6476663546263999E-2</v>
      </c>
      <c r="L262" s="68"/>
      <c r="M262" s="57" t="s">
        <v>108</v>
      </c>
      <c r="N262" s="69"/>
      <c r="O262" s="92">
        <v>0.55500000000000005</v>
      </c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 spans="1:26" ht="17" hidden="1" customHeight="1" thickBot="1">
      <c r="A263" s="512">
        <v>15510</v>
      </c>
      <c r="B263" s="113">
        <v>510</v>
      </c>
      <c r="C263" s="116" t="s">
        <v>156</v>
      </c>
      <c r="D263" s="380" t="s">
        <v>125</v>
      </c>
      <c r="E263" s="64">
        <f>E262</f>
        <v>0.55500000000000005</v>
      </c>
      <c r="F263" s="64">
        <f>E263*0.5</f>
        <v>0.27750000000000002</v>
      </c>
      <c r="G263" s="64"/>
      <c r="H263" s="64"/>
      <c r="I263" s="55">
        <f t="shared" si="0"/>
        <v>612.61261261261257</v>
      </c>
      <c r="J263" s="55">
        <f>SUMIF('3-Basis ruimtestaat'!J:J,A263,'3-Basis ruimtestaat'!I:I)</f>
        <v>0</v>
      </c>
      <c r="K263" s="66" t="str">
        <f t="shared" si="17"/>
        <v/>
      </c>
      <c r="L263" s="68"/>
      <c r="M263" s="57" t="s">
        <v>108</v>
      </c>
      <c r="N263" s="69"/>
      <c r="O263" s="84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 spans="1:26" ht="17" hidden="1" customHeight="1">
      <c r="A264" s="512">
        <v>16010</v>
      </c>
      <c r="B264" s="62">
        <v>10</v>
      </c>
      <c r="C264" s="116" t="s">
        <v>157</v>
      </c>
      <c r="D264" s="63" t="s">
        <v>107</v>
      </c>
      <c r="E264" s="64">
        <f>E277/255*B264*1.5</f>
        <v>7.7941176470588236E-2</v>
      </c>
      <c r="F264" s="64"/>
      <c r="G264" s="64"/>
      <c r="H264" s="64"/>
      <c r="I264" s="55">
        <f t="shared" si="0"/>
        <v>128.30188679245282</v>
      </c>
      <c r="J264" s="55">
        <f>SUMIF('3-Basis ruimtestaat'!J:J,A264,'3-Basis ruimtestaat'!I:I)</f>
        <v>0</v>
      </c>
      <c r="K264" s="66" t="str">
        <f t="shared" si="17"/>
        <v/>
      </c>
      <c r="L264" s="68"/>
      <c r="M264" s="57" t="s">
        <v>136</v>
      </c>
      <c r="N264" s="69"/>
      <c r="O264" s="84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 spans="1:26" ht="17" hidden="1" customHeight="1">
      <c r="A265" s="512">
        <v>16012</v>
      </c>
      <c r="B265" s="72">
        <v>12</v>
      </c>
      <c r="C265" s="116" t="s">
        <v>157</v>
      </c>
      <c r="D265" s="63" t="s">
        <v>109</v>
      </c>
      <c r="E265" s="64">
        <f>E277/255*B265*1.5</f>
        <v>9.3529411764705875E-2</v>
      </c>
      <c r="F265" s="64"/>
      <c r="G265" s="64"/>
      <c r="H265" s="64"/>
      <c r="I265" s="55">
        <f t="shared" si="0"/>
        <v>128.30188679245285</v>
      </c>
      <c r="J265" s="55">
        <f>SUMIF('3-Basis ruimtestaat'!J:J,A265,'3-Basis ruimtestaat'!I:I)</f>
        <v>0</v>
      </c>
      <c r="K265" s="66" t="str">
        <f t="shared" si="17"/>
        <v/>
      </c>
      <c r="L265" s="68"/>
      <c r="M265" s="57" t="s">
        <v>136</v>
      </c>
      <c r="N265" s="69"/>
      <c r="O265" s="71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 spans="1:26" ht="17" hidden="1" customHeight="1">
      <c r="A266" s="512">
        <v>16040</v>
      </c>
      <c r="B266" s="72">
        <v>40</v>
      </c>
      <c r="C266" s="116" t="s">
        <v>157</v>
      </c>
      <c r="D266" s="63" t="s">
        <v>137</v>
      </c>
      <c r="E266" s="64">
        <f>E277/255*B266*1.3</f>
        <v>0.27019607843137255</v>
      </c>
      <c r="F266" s="64"/>
      <c r="G266" s="64"/>
      <c r="H266" s="64"/>
      <c r="I266" s="55">
        <f t="shared" si="0"/>
        <v>148.04063860667634</v>
      </c>
      <c r="J266" s="55">
        <f>SUMIF('3-Basis ruimtestaat'!J:J,A266,'3-Basis ruimtestaat'!I:I)</f>
        <v>0</v>
      </c>
      <c r="K266" s="66" t="str">
        <f t="shared" ref="K266:K272" si="23">IF(J266=0,"",J266/$J$482)</f>
        <v/>
      </c>
      <c r="L266" s="68"/>
      <c r="M266" s="57" t="s">
        <v>136</v>
      </c>
      <c r="N266" s="69"/>
      <c r="O266" s="84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 spans="1:26" ht="17" hidden="1" customHeight="1">
      <c r="A267" s="512">
        <v>16052</v>
      </c>
      <c r="B267" s="72">
        <v>52</v>
      </c>
      <c r="C267" s="116" t="s">
        <v>157</v>
      </c>
      <c r="D267" s="63" t="s">
        <v>111</v>
      </c>
      <c r="E267" s="64">
        <f>E277/255*B267*1.4</f>
        <v>0.37827450980392147</v>
      </c>
      <c r="F267" s="64"/>
      <c r="G267" s="64"/>
      <c r="H267" s="64"/>
      <c r="I267" s="55">
        <f t="shared" si="0"/>
        <v>137.46630727762806</v>
      </c>
      <c r="J267" s="55">
        <f>SUMIF('3-Basis ruimtestaat'!J:J,A267,'3-Basis ruimtestaat'!I:I)</f>
        <v>0</v>
      </c>
      <c r="K267" s="66" t="str">
        <f t="shared" si="23"/>
        <v/>
      </c>
      <c r="L267" s="68"/>
      <c r="M267" s="57" t="s">
        <v>136</v>
      </c>
      <c r="N267" s="69"/>
      <c r="O267" s="84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 spans="1:26" ht="17" hidden="1" customHeight="1">
      <c r="A268" s="512">
        <v>16080</v>
      </c>
      <c r="B268" s="72">
        <v>80</v>
      </c>
      <c r="C268" s="116" t="s">
        <v>157</v>
      </c>
      <c r="D268" s="63" t="s">
        <v>112</v>
      </c>
      <c r="E268" s="64">
        <f>E277/255*B268*1.2</f>
        <v>0.49882352941176467</v>
      </c>
      <c r="F268" s="64"/>
      <c r="G268" s="64"/>
      <c r="H268" s="64"/>
      <c r="I268" s="55">
        <f t="shared" si="0"/>
        <v>160.37735849056605</v>
      </c>
      <c r="J268" s="55">
        <f>SUMIF('3-Basis ruimtestaat'!J:J,A268,'3-Basis ruimtestaat'!I:I)</f>
        <v>0</v>
      </c>
      <c r="K268" s="66" t="str">
        <f t="shared" si="23"/>
        <v/>
      </c>
      <c r="L268" s="68"/>
      <c r="M268" s="57" t="s">
        <v>136</v>
      </c>
      <c r="N268" s="69"/>
      <c r="O268" s="71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 spans="1:26" ht="17" hidden="1" customHeight="1">
      <c r="A269" s="512">
        <v>16104</v>
      </c>
      <c r="B269" s="72">
        <v>104</v>
      </c>
      <c r="C269" s="116" t="s">
        <v>157</v>
      </c>
      <c r="D269" s="63" t="s">
        <v>113</v>
      </c>
      <c r="E269" s="64">
        <f>E277/255*B269*1.2</f>
        <v>0.64847058823529402</v>
      </c>
      <c r="F269" s="64"/>
      <c r="G269" s="64"/>
      <c r="H269" s="64"/>
      <c r="I269" s="55">
        <f t="shared" si="0"/>
        <v>160.37735849056605</v>
      </c>
      <c r="J269" s="55">
        <f>SUMIF('3-Basis ruimtestaat'!J:J,A269,'3-Basis ruimtestaat'!I:I)</f>
        <v>0</v>
      </c>
      <c r="K269" s="66" t="str">
        <f t="shared" si="23"/>
        <v/>
      </c>
      <c r="L269" s="68"/>
      <c r="M269" s="57" t="s">
        <v>136</v>
      </c>
      <c r="N269" s="69"/>
      <c r="O269" s="71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 spans="1:26" ht="17" hidden="1" customHeight="1">
      <c r="A270" s="512">
        <v>16120</v>
      </c>
      <c r="B270" s="72">
        <v>120</v>
      </c>
      <c r="C270" s="116" t="s">
        <v>157</v>
      </c>
      <c r="D270" s="63" t="s">
        <v>114</v>
      </c>
      <c r="E270" s="64">
        <f>E277/255*B270*1.2</f>
        <v>0.748235294117647</v>
      </c>
      <c r="F270" s="64"/>
      <c r="G270" s="64"/>
      <c r="H270" s="64"/>
      <c r="I270" s="55">
        <f t="shared" si="0"/>
        <v>160.37735849056605</v>
      </c>
      <c r="J270" s="55">
        <f>SUMIF('3-Basis ruimtestaat'!J:J,A270,'3-Basis ruimtestaat'!I:I)</f>
        <v>0</v>
      </c>
      <c r="K270" s="66" t="str">
        <f t="shared" si="23"/>
        <v/>
      </c>
      <c r="L270" s="68"/>
      <c r="M270" s="57" t="s">
        <v>136</v>
      </c>
      <c r="N270" s="69"/>
      <c r="O270" s="71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 spans="1:26" ht="17" hidden="1" customHeight="1">
      <c r="A271" s="512">
        <v>16130</v>
      </c>
      <c r="B271" s="72">
        <v>130</v>
      </c>
      <c r="C271" s="116" t="s">
        <v>157</v>
      </c>
      <c r="D271" s="63" t="s">
        <v>115</v>
      </c>
      <c r="E271" s="64">
        <f>E277/255*B271*1.1</f>
        <v>0.74303921568627451</v>
      </c>
      <c r="F271" s="64"/>
      <c r="G271" s="64"/>
      <c r="H271" s="64"/>
      <c r="I271" s="55">
        <f t="shared" si="0"/>
        <v>174.95711835334475</v>
      </c>
      <c r="J271" s="55">
        <f>SUMIF('3-Basis ruimtestaat'!J:J,A271,'3-Basis ruimtestaat'!I:I)</f>
        <v>0</v>
      </c>
      <c r="K271" s="66" t="str">
        <f t="shared" si="23"/>
        <v/>
      </c>
      <c r="L271" s="68"/>
      <c r="M271" s="57" t="s">
        <v>136</v>
      </c>
      <c r="N271" s="69"/>
      <c r="O271" s="71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 spans="1:26" ht="17" hidden="1" customHeight="1">
      <c r="A272" s="512">
        <v>16156</v>
      </c>
      <c r="B272" s="72">
        <v>156</v>
      </c>
      <c r="C272" s="116" t="s">
        <v>157</v>
      </c>
      <c r="D272" s="63" t="s">
        <v>117</v>
      </c>
      <c r="E272" s="64">
        <f>E277/255*B272*1.1</f>
        <v>0.89164705882352946</v>
      </c>
      <c r="F272" s="64"/>
      <c r="G272" s="64"/>
      <c r="H272" s="64"/>
      <c r="I272" s="55">
        <f t="shared" si="0"/>
        <v>174.95711835334475</v>
      </c>
      <c r="J272" s="55">
        <f>SUMIF('3-Basis ruimtestaat'!J:J,A272,'3-Basis ruimtestaat'!I:I)</f>
        <v>0</v>
      </c>
      <c r="K272" s="66" t="str">
        <f t="shared" si="23"/>
        <v/>
      </c>
      <c r="L272" s="68"/>
      <c r="M272" s="57" t="s">
        <v>136</v>
      </c>
      <c r="N272" s="69"/>
      <c r="O272" s="84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 spans="1:26" ht="17" hidden="1" customHeight="1">
      <c r="A273" s="512">
        <v>16160</v>
      </c>
      <c r="B273" s="72">
        <v>160</v>
      </c>
      <c r="C273" s="116" t="s">
        <v>157</v>
      </c>
      <c r="D273" s="63" t="s">
        <v>118</v>
      </c>
      <c r="E273" s="64">
        <f>E277/255*B273</f>
        <v>0.83137254901960778</v>
      </c>
      <c r="F273" s="64"/>
      <c r="G273" s="64"/>
      <c r="H273" s="64"/>
      <c r="I273" s="55">
        <f t="shared" si="0"/>
        <v>192.45283018867926</v>
      </c>
      <c r="J273" s="55">
        <f>SUMIF('3-Basis ruimtestaat'!J:J,A273,'3-Basis ruimtestaat'!I:I)</f>
        <v>0</v>
      </c>
      <c r="K273" s="66" t="str">
        <f t="shared" ref="K273:K336" si="24">IF(J273=0,"",J273/$J$482)</f>
        <v/>
      </c>
      <c r="L273" s="68"/>
      <c r="M273" s="57" t="s">
        <v>136</v>
      </c>
      <c r="N273" s="69"/>
      <c r="O273" s="84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 spans="1:26" ht="17" hidden="1" customHeight="1">
      <c r="A274" s="512">
        <v>16200</v>
      </c>
      <c r="B274" s="72">
        <v>200</v>
      </c>
      <c r="C274" s="116" t="s">
        <v>157</v>
      </c>
      <c r="D274" s="63" t="s">
        <v>119</v>
      </c>
      <c r="E274" s="64">
        <f>E277/255*B274</f>
        <v>1.0392156862745097</v>
      </c>
      <c r="F274" s="64"/>
      <c r="G274" s="64"/>
      <c r="H274" s="64"/>
      <c r="I274" s="55">
        <f t="shared" si="0"/>
        <v>192.45283018867926</v>
      </c>
      <c r="J274" s="55">
        <f>SUMIF('3-Basis ruimtestaat'!J:J,A274,'3-Basis ruimtestaat'!I:I)</f>
        <v>0</v>
      </c>
      <c r="K274" s="66" t="str">
        <f t="shared" si="24"/>
        <v/>
      </c>
      <c r="L274" s="68"/>
      <c r="M274" s="57" t="s">
        <v>136</v>
      </c>
      <c r="N274" s="69"/>
      <c r="O274" s="84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 spans="1:26" ht="17" hidden="1" customHeight="1">
      <c r="A275" s="512">
        <v>16208</v>
      </c>
      <c r="B275" s="72">
        <v>208</v>
      </c>
      <c r="C275" s="116" t="s">
        <v>157</v>
      </c>
      <c r="D275" s="63" t="s">
        <v>139</v>
      </c>
      <c r="E275" s="64">
        <f>E277/255*B275*1.05</f>
        <v>1.1348235294117646</v>
      </c>
      <c r="F275" s="64"/>
      <c r="G275" s="64"/>
      <c r="H275" s="64"/>
      <c r="I275" s="55">
        <f t="shared" si="0"/>
        <v>183.28840970350407</v>
      </c>
      <c r="J275" s="55">
        <f>SUMIF('3-Basis ruimtestaat'!J:J,A275,'3-Basis ruimtestaat'!I:I)</f>
        <v>0</v>
      </c>
      <c r="K275" s="66" t="str">
        <f t="shared" si="24"/>
        <v/>
      </c>
      <c r="L275" s="68"/>
      <c r="M275" s="57" t="s">
        <v>136</v>
      </c>
      <c r="N275" s="69"/>
      <c r="O275" s="84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 spans="1:26" ht="17" hidden="1" customHeight="1">
      <c r="A276" s="512">
        <v>16210</v>
      </c>
      <c r="B276" s="72">
        <v>210</v>
      </c>
      <c r="C276" s="116" t="s">
        <v>157</v>
      </c>
      <c r="D276" s="63" t="s">
        <v>121</v>
      </c>
      <c r="E276" s="64">
        <f>E277/255*B276</f>
        <v>1.0911764705882352</v>
      </c>
      <c r="F276" s="64"/>
      <c r="G276" s="64"/>
      <c r="H276" s="64"/>
      <c r="I276" s="55">
        <f t="shared" ref="I276" si="25">IF(E276=0,0,B276/(E276+F276+G276+H276))</f>
        <v>192.45283018867926</v>
      </c>
      <c r="J276" s="55">
        <f>SUMIF('3-Basis ruimtestaat'!J:J,A276,'3-Basis ruimtestaat'!I:I)</f>
        <v>0</v>
      </c>
      <c r="K276" s="66" t="str">
        <f t="shared" si="24"/>
        <v/>
      </c>
      <c r="L276" s="68"/>
      <c r="M276" s="57" t="s">
        <v>136</v>
      </c>
      <c r="N276" s="69"/>
      <c r="O276" s="84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 spans="1:26" ht="17" hidden="1" customHeight="1">
      <c r="A277" s="512">
        <v>16255</v>
      </c>
      <c r="B277" s="72">
        <v>255</v>
      </c>
      <c r="C277" s="116" t="s">
        <v>157</v>
      </c>
      <c r="D277" s="63" t="s">
        <v>124</v>
      </c>
      <c r="E277" s="64">
        <f>O277*$O$9</f>
        <v>1.325</v>
      </c>
      <c r="F277" s="117"/>
      <c r="G277" s="117"/>
      <c r="H277" s="64"/>
      <c r="I277" s="55">
        <f t="shared" si="0"/>
        <v>192.45283018867926</v>
      </c>
      <c r="J277" s="55">
        <f>SUMIF('3-Basis ruimtestaat'!J:J,A277,'3-Basis ruimtestaat'!I:I)</f>
        <v>0</v>
      </c>
      <c r="K277" s="66" t="str">
        <f t="shared" si="24"/>
        <v/>
      </c>
      <c r="L277" s="68"/>
      <c r="M277" s="57" t="s">
        <v>136</v>
      </c>
      <c r="N277" s="69"/>
      <c r="O277" s="92">
        <v>1.325</v>
      </c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 spans="1:26" ht="17" hidden="1" customHeight="1" thickBot="1">
      <c r="A278" s="512">
        <v>16365</v>
      </c>
      <c r="B278" s="113">
        <v>365</v>
      </c>
      <c r="C278" s="116" t="s">
        <v>157</v>
      </c>
      <c r="D278" s="63" t="s">
        <v>129</v>
      </c>
      <c r="E278" s="64">
        <f>E277</f>
        <v>1.325</v>
      </c>
      <c r="F278" s="64"/>
      <c r="G278" s="64">
        <f>E278/255*104*0.8</f>
        <v>0.43231372549019603</v>
      </c>
      <c r="H278" s="64"/>
      <c r="I278" s="55">
        <f t="shared" si="0"/>
        <v>207.70337971279693</v>
      </c>
      <c r="J278" s="55">
        <f>SUMIF('3-Basis ruimtestaat'!J:J,A278,'3-Basis ruimtestaat'!I:I)</f>
        <v>0</v>
      </c>
      <c r="K278" s="66" t="str">
        <f t="shared" si="24"/>
        <v/>
      </c>
      <c r="L278" s="68"/>
      <c r="M278" s="57" t="s">
        <v>136</v>
      </c>
      <c r="N278" s="69"/>
      <c r="O278" s="71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 spans="1:26" ht="17" hidden="1" customHeight="1">
      <c r="A279" s="512">
        <v>17010</v>
      </c>
      <c r="B279" s="62">
        <v>10</v>
      </c>
      <c r="C279" s="115" t="s">
        <v>158</v>
      </c>
      <c r="D279" s="63" t="s">
        <v>107</v>
      </c>
      <c r="E279" s="64">
        <f>E292/255*B279*1.5</f>
        <v>1.1764705882352941E-2</v>
      </c>
      <c r="F279" s="64"/>
      <c r="G279" s="64"/>
      <c r="H279" s="64"/>
      <c r="I279" s="55">
        <f t="shared" si="0"/>
        <v>850</v>
      </c>
      <c r="J279" s="55">
        <f>SUMIF('3-Basis ruimtestaat'!J:J,A279,'3-Basis ruimtestaat'!I:I)</f>
        <v>0</v>
      </c>
      <c r="K279" s="66" t="str">
        <f t="shared" si="24"/>
        <v/>
      </c>
      <c r="L279" s="68"/>
      <c r="M279" s="57" t="s">
        <v>136</v>
      </c>
      <c r="N279" s="69"/>
      <c r="O279" s="84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 spans="1:26" ht="17" hidden="1" customHeight="1">
      <c r="A280" s="512">
        <v>17012</v>
      </c>
      <c r="B280" s="72">
        <v>12</v>
      </c>
      <c r="C280" s="115" t="s">
        <v>158</v>
      </c>
      <c r="D280" s="63" t="s">
        <v>109</v>
      </c>
      <c r="E280" s="64">
        <f>E292/255*B280*1.5</f>
        <v>1.411764705882353E-2</v>
      </c>
      <c r="F280" s="64"/>
      <c r="G280" s="64"/>
      <c r="H280" s="64"/>
      <c r="I280" s="55">
        <f t="shared" si="0"/>
        <v>850</v>
      </c>
      <c r="J280" s="55">
        <f>SUMIF('3-Basis ruimtestaat'!J:J,A280,'3-Basis ruimtestaat'!I:I)</f>
        <v>0</v>
      </c>
      <c r="K280" s="66" t="str">
        <f t="shared" si="24"/>
        <v/>
      </c>
      <c r="L280" s="68"/>
      <c r="M280" s="57" t="s">
        <v>136</v>
      </c>
      <c r="N280" s="69"/>
      <c r="O280" s="71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 spans="1:26" ht="17" hidden="1" customHeight="1">
      <c r="A281" s="512">
        <v>17040</v>
      </c>
      <c r="B281" s="72">
        <v>40</v>
      </c>
      <c r="C281" s="115" t="s">
        <v>158</v>
      </c>
      <c r="D281" s="63" t="s">
        <v>137</v>
      </c>
      <c r="E281" s="64">
        <f>E292/255*B281*1.3</f>
        <v>4.0784313725490198E-2</v>
      </c>
      <c r="F281" s="64"/>
      <c r="G281" s="64"/>
      <c r="H281" s="64"/>
      <c r="I281" s="55">
        <f t="shared" si="0"/>
        <v>980.76923076923072</v>
      </c>
      <c r="J281" s="55">
        <f>SUMIF('3-Basis ruimtestaat'!J:J,A281,'3-Basis ruimtestaat'!I:I)</f>
        <v>0</v>
      </c>
      <c r="K281" s="66" t="str">
        <f t="shared" si="24"/>
        <v/>
      </c>
      <c r="L281" s="68"/>
      <c r="M281" s="57" t="s">
        <v>136</v>
      </c>
      <c r="N281" s="69"/>
      <c r="O281" s="84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 spans="1:26" ht="17" hidden="1" customHeight="1">
      <c r="A282" s="512">
        <v>17052</v>
      </c>
      <c r="B282" s="72">
        <v>52</v>
      </c>
      <c r="C282" s="115" t="s">
        <v>158</v>
      </c>
      <c r="D282" s="63" t="s">
        <v>111</v>
      </c>
      <c r="E282" s="64">
        <f>E292/255*B282*1.4</f>
        <v>5.7098039215686271E-2</v>
      </c>
      <c r="F282" s="64"/>
      <c r="G282" s="64"/>
      <c r="H282" s="64"/>
      <c r="I282" s="55">
        <f t="shared" si="0"/>
        <v>910.71428571428578</v>
      </c>
      <c r="J282" s="55">
        <f>SUMIF('3-Basis ruimtestaat'!J:J,A282,'3-Basis ruimtestaat'!I:I)</f>
        <v>0</v>
      </c>
      <c r="K282" s="66" t="str">
        <f t="shared" si="24"/>
        <v/>
      </c>
      <c r="L282" s="68"/>
      <c r="M282" s="57" t="s">
        <v>136</v>
      </c>
      <c r="N282" s="69"/>
      <c r="O282" s="71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 spans="1:26" ht="17" hidden="1" customHeight="1">
      <c r="A283" s="512">
        <v>17080</v>
      </c>
      <c r="B283" s="72">
        <v>80</v>
      </c>
      <c r="C283" s="115" t="s">
        <v>158</v>
      </c>
      <c r="D283" s="63" t="s">
        <v>112</v>
      </c>
      <c r="E283" s="64">
        <f>E292/255*B283*1.2</f>
        <v>7.5294117647058817E-2</v>
      </c>
      <c r="F283" s="64"/>
      <c r="G283" s="64"/>
      <c r="H283" s="64"/>
      <c r="I283" s="55">
        <f t="shared" si="0"/>
        <v>1062.5</v>
      </c>
      <c r="J283" s="55">
        <f>SUMIF('3-Basis ruimtestaat'!J:J,A283,'3-Basis ruimtestaat'!I:I)</f>
        <v>0</v>
      </c>
      <c r="K283" s="66" t="str">
        <f t="shared" si="24"/>
        <v/>
      </c>
      <c r="L283" s="68"/>
      <c r="M283" s="57" t="s">
        <v>136</v>
      </c>
      <c r="N283" s="69"/>
      <c r="O283" s="71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 spans="1:26" ht="17" hidden="1" customHeight="1">
      <c r="A284" s="512">
        <v>17104</v>
      </c>
      <c r="B284" s="72">
        <v>104</v>
      </c>
      <c r="C284" s="115" t="s">
        <v>158</v>
      </c>
      <c r="D284" s="63" t="s">
        <v>113</v>
      </c>
      <c r="E284" s="64">
        <f>E292/255*B284*1.2</f>
        <v>9.7882352941176476E-2</v>
      </c>
      <c r="F284" s="64"/>
      <c r="G284" s="64"/>
      <c r="H284" s="64"/>
      <c r="I284" s="55">
        <f t="shared" si="0"/>
        <v>1062.5</v>
      </c>
      <c r="J284" s="55">
        <f>SUMIF('3-Basis ruimtestaat'!J:J,A284,'3-Basis ruimtestaat'!I:I)</f>
        <v>0</v>
      </c>
      <c r="K284" s="66" t="str">
        <f t="shared" si="24"/>
        <v/>
      </c>
      <c r="L284" s="68"/>
      <c r="M284" s="57" t="s">
        <v>136</v>
      </c>
      <c r="N284" s="69"/>
      <c r="O284" s="84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 spans="1:26" ht="17" hidden="1" customHeight="1">
      <c r="A285" s="512">
        <v>17120</v>
      </c>
      <c r="B285" s="72">
        <v>120</v>
      </c>
      <c r="C285" s="115" t="s">
        <v>158</v>
      </c>
      <c r="D285" s="63" t="s">
        <v>114</v>
      </c>
      <c r="E285" s="64">
        <f>E292/255*B285*1.2</f>
        <v>0.11294117647058824</v>
      </c>
      <c r="F285" s="64"/>
      <c r="G285" s="64"/>
      <c r="H285" s="64"/>
      <c r="I285" s="55">
        <f t="shared" si="0"/>
        <v>1062.5</v>
      </c>
      <c r="J285" s="55">
        <f>SUMIF('3-Basis ruimtestaat'!J:J,A285,'3-Basis ruimtestaat'!I:I)</f>
        <v>0</v>
      </c>
      <c r="K285" s="66" t="str">
        <f t="shared" si="24"/>
        <v/>
      </c>
      <c r="L285" s="68"/>
      <c r="M285" s="57" t="s">
        <v>136</v>
      </c>
      <c r="N285" s="69"/>
      <c r="O285" s="71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 spans="1:26" ht="17" hidden="1" customHeight="1">
      <c r="A286" s="512">
        <v>17130</v>
      </c>
      <c r="B286" s="72">
        <v>130</v>
      </c>
      <c r="C286" s="115" t="s">
        <v>158</v>
      </c>
      <c r="D286" s="63" t="s">
        <v>115</v>
      </c>
      <c r="E286" s="64">
        <f>E292/255*B286*1.1</f>
        <v>0.11215686274509806</v>
      </c>
      <c r="F286" s="64"/>
      <c r="G286" s="64"/>
      <c r="H286" s="64"/>
      <c r="I286" s="55">
        <f t="shared" si="0"/>
        <v>1159.0909090909088</v>
      </c>
      <c r="J286" s="55">
        <f>SUMIF('3-Basis ruimtestaat'!J:J,A286,'3-Basis ruimtestaat'!I:I)</f>
        <v>0</v>
      </c>
      <c r="K286" s="66" t="str">
        <f t="shared" si="24"/>
        <v/>
      </c>
      <c r="L286" s="68"/>
      <c r="M286" s="57" t="s">
        <v>136</v>
      </c>
      <c r="N286" s="69"/>
      <c r="O286" s="71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 spans="1:26" ht="17" hidden="1" customHeight="1">
      <c r="A287" s="512">
        <v>17156</v>
      </c>
      <c r="B287" s="72">
        <v>156</v>
      </c>
      <c r="C287" s="115" t="s">
        <v>158</v>
      </c>
      <c r="D287" s="63" t="s">
        <v>117</v>
      </c>
      <c r="E287" s="64">
        <f>E292/255*B287*1.1</f>
        <v>0.13458823529411768</v>
      </c>
      <c r="F287" s="64"/>
      <c r="G287" s="64"/>
      <c r="H287" s="64"/>
      <c r="I287" s="55">
        <f t="shared" si="0"/>
        <v>1159.0909090909088</v>
      </c>
      <c r="J287" s="55">
        <f>SUMIF('3-Basis ruimtestaat'!J:J,A287,'3-Basis ruimtestaat'!I:I)</f>
        <v>0</v>
      </c>
      <c r="K287" s="66" t="str">
        <f t="shared" si="24"/>
        <v/>
      </c>
      <c r="L287" s="68"/>
      <c r="M287" s="57" t="s">
        <v>136</v>
      </c>
      <c r="N287" s="69"/>
      <c r="O287" s="71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 spans="1:26" ht="17" hidden="1" customHeight="1">
      <c r="A288" s="512">
        <v>17160</v>
      </c>
      <c r="B288" s="72">
        <v>160</v>
      </c>
      <c r="C288" s="115" t="s">
        <v>158</v>
      </c>
      <c r="D288" s="63" t="s">
        <v>118</v>
      </c>
      <c r="E288" s="64">
        <f>E292/255*B288</f>
        <v>0.12549019607843137</v>
      </c>
      <c r="F288" s="64"/>
      <c r="G288" s="64"/>
      <c r="H288" s="64"/>
      <c r="I288" s="55">
        <f t="shared" si="0"/>
        <v>1275</v>
      </c>
      <c r="J288" s="55">
        <f>SUMIF('3-Basis ruimtestaat'!J:J,A288,'3-Basis ruimtestaat'!I:I)</f>
        <v>0</v>
      </c>
      <c r="K288" s="66" t="str">
        <f t="shared" si="24"/>
        <v/>
      </c>
      <c r="L288" s="68"/>
      <c r="M288" s="57" t="s">
        <v>136</v>
      </c>
      <c r="N288" s="69"/>
      <c r="O288" s="71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 spans="1:26" ht="17" hidden="1" customHeight="1">
      <c r="A289" s="512">
        <v>17200</v>
      </c>
      <c r="B289" s="72">
        <v>200</v>
      </c>
      <c r="C289" s="115" t="s">
        <v>158</v>
      </c>
      <c r="D289" s="63" t="s">
        <v>119</v>
      </c>
      <c r="E289" s="64">
        <f>E292/255*B289</f>
        <v>0.15686274509803924</v>
      </c>
      <c r="F289" s="64"/>
      <c r="G289" s="64"/>
      <c r="H289" s="64"/>
      <c r="I289" s="55">
        <f t="shared" si="0"/>
        <v>1274.9999999999998</v>
      </c>
      <c r="J289" s="55">
        <f>SUMIF('3-Basis ruimtestaat'!J:J,A289,'3-Basis ruimtestaat'!I:I)</f>
        <v>0</v>
      </c>
      <c r="K289" s="66" t="str">
        <f t="shared" si="24"/>
        <v/>
      </c>
      <c r="L289" s="68"/>
      <c r="M289" s="57" t="s">
        <v>136</v>
      </c>
      <c r="N289" s="69"/>
      <c r="O289" s="84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 spans="1:26" ht="17" hidden="1" customHeight="1">
      <c r="A290" s="512">
        <v>17208</v>
      </c>
      <c r="B290" s="72">
        <v>208</v>
      </c>
      <c r="C290" s="115" t="s">
        <v>158</v>
      </c>
      <c r="D290" s="63" t="s">
        <v>139</v>
      </c>
      <c r="E290" s="64">
        <f>E292/255*B290*1.05</f>
        <v>0.17129411764705885</v>
      </c>
      <c r="F290" s="64"/>
      <c r="G290" s="64"/>
      <c r="H290" s="64"/>
      <c r="I290" s="55">
        <f t="shared" si="0"/>
        <v>1214.2857142857142</v>
      </c>
      <c r="J290" s="55">
        <f>SUMIF('3-Basis ruimtestaat'!J:J,A290,'3-Basis ruimtestaat'!I:I)</f>
        <v>0</v>
      </c>
      <c r="K290" s="66" t="str">
        <f t="shared" si="24"/>
        <v/>
      </c>
      <c r="L290" s="68"/>
      <c r="M290" s="57" t="s">
        <v>136</v>
      </c>
      <c r="N290" s="69"/>
      <c r="O290" s="84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 spans="1:26" ht="17" hidden="1" customHeight="1">
      <c r="A291" s="512">
        <v>17210</v>
      </c>
      <c r="B291" s="72">
        <v>210</v>
      </c>
      <c r="C291" s="115" t="s">
        <v>158</v>
      </c>
      <c r="D291" s="63" t="s">
        <v>121</v>
      </c>
      <c r="E291" s="64">
        <f>E292/255*B291</f>
        <v>0.1647058823529412</v>
      </c>
      <c r="F291" s="64"/>
      <c r="G291" s="64"/>
      <c r="H291" s="64"/>
      <c r="I291" s="55">
        <f t="shared" ref="I291" si="26">IF(E291=0,0,B291/(E291+F291+G291+H291))</f>
        <v>1274.9999999999998</v>
      </c>
      <c r="J291" s="55">
        <f>SUMIF('3-Basis ruimtestaat'!J:J,A291,'3-Basis ruimtestaat'!I:I)</f>
        <v>0</v>
      </c>
      <c r="K291" s="66" t="str">
        <f t="shared" si="24"/>
        <v/>
      </c>
      <c r="L291" s="68"/>
      <c r="M291" s="57" t="s">
        <v>136</v>
      </c>
      <c r="N291" s="69"/>
      <c r="O291" s="84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 spans="1:26" ht="17" hidden="1" customHeight="1">
      <c r="A292" s="512">
        <v>17255</v>
      </c>
      <c r="B292" s="72">
        <v>255</v>
      </c>
      <c r="C292" s="115" t="s">
        <v>158</v>
      </c>
      <c r="D292" s="63" t="s">
        <v>124</v>
      </c>
      <c r="E292" s="64">
        <f>O292*$O$9</f>
        <v>0.2</v>
      </c>
      <c r="F292" s="64"/>
      <c r="G292" s="64"/>
      <c r="H292" s="64"/>
      <c r="I292" s="55">
        <f t="shared" si="0"/>
        <v>1275</v>
      </c>
      <c r="J292" s="55">
        <f>SUMIF('3-Basis ruimtestaat'!J:J,A292,'3-Basis ruimtestaat'!I:I)</f>
        <v>0</v>
      </c>
      <c r="K292" s="66" t="str">
        <f t="shared" si="24"/>
        <v/>
      </c>
      <c r="L292" s="68"/>
      <c r="M292" s="57" t="s">
        <v>136</v>
      </c>
      <c r="N292" s="69"/>
      <c r="O292" s="92">
        <v>0.2</v>
      </c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 spans="1:26" ht="17" hidden="1" customHeight="1" thickBot="1">
      <c r="A293" s="512">
        <v>17365</v>
      </c>
      <c r="B293" s="113">
        <v>365</v>
      </c>
      <c r="C293" s="115" t="s">
        <v>158</v>
      </c>
      <c r="D293" s="63" t="s">
        <v>129</v>
      </c>
      <c r="E293" s="64">
        <f>E292</f>
        <v>0.2</v>
      </c>
      <c r="F293" s="64"/>
      <c r="G293" s="64">
        <f>E293/255*104*0.8</f>
        <v>6.5254901960784317E-2</v>
      </c>
      <c r="H293" s="64"/>
      <c r="I293" s="55">
        <f t="shared" si="0"/>
        <v>1376.0348905972796</v>
      </c>
      <c r="J293" s="55">
        <f>SUMIF('3-Basis ruimtestaat'!J:J,A293,'3-Basis ruimtestaat'!I:I)</f>
        <v>0</v>
      </c>
      <c r="K293" s="66" t="str">
        <f t="shared" si="24"/>
        <v/>
      </c>
      <c r="L293" s="68"/>
      <c r="M293" s="57" t="s">
        <v>136</v>
      </c>
      <c r="N293" s="69"/>
      <c r="O293" s="71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 spans="1:26" ht="17" hidden="1" customHeight="1">
      <c r="A294" s="512">
        <v>18010</v>
      </c>
      <c r="B294" s="62">
        <v>10</v>
      </c>
      <c r="C294" s="115" t="s">
        <v>159</v>
      </c>
      <c r="D294" s="63" t="s">
        <v>107</v>
      </c>
      <c r="E294" s="64">
        <f>E307/255*B294*1.5</f>
        <v>3.376470588235294E-2</v>
      </c>
      <c r="F294" s="64"/>
      <c r="G294" s="64"/>
      <c r="H294" s="64"/>
      <c r="I294" s="55">
        <f t="shared" si="0"/>
        <v>296.16724738675958</v>
      </c>
      <c r="J294" s="55">
        <f>SUMIF('3-Basis ruimtestaat'!J:J,A294,'3-Basis ruimtestaat'!I:I)</f>
        <v>0</v>
      </c>
      <c r="K294" s="66" t="str">
        <f t="shared" si="24"/>
        <v/>
      </c>
      <c r="L294" s="68"/>
      <c r="M294" s="57" t="s">
        <v>136</v>
      </c>
      <c r="N294" s="69"/>
      <c r="O294" s="84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 spans="1:26" ht="17" hidden="1" customHeight="1">
      <c r="A295" s="512">
        <v>18012</v>
      </c>
      <c r="B295" s="72">
        <v>12</v>
      </c>
      <c r="C295" s="115" t="s">
        <v>159</v>
      </c>
      <c r="D295" s="63" t="s">
        <v>109</v>
      </c>
      <c r="E295" s="64">
        <f>E307/255*B295*1.5</f>
        <v>4.0517647058823533E-2</v>
      </c>
      <c r="F295" s="64"/>
      <c r="G295" s="64"/>
      <c r="H295" s="64"/>
      <c r="I295" s="55">
        <f t="shared" si="0"/>
        <v>296.16724738675953</v>
      </c>
      <c r="J295" s="55">
        <f>SUMIF('3-Basis ruimtestaat'!J:J,A295,'3-Basis ruimtestaat'!I:I)</f>
        <v>0</v>
      </c>
      <c r="K295" s="66" t="str">
        <f t="shared" si="24"/>
        <v/>
      </c>
      <c r="L295" s="68"/>
      <c r="M295" s="57" t="s">
        <v>136</v>
      </c>
      <c r="N295" s="69"/>
      <c r="O295" s="84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 spans="1:26" ht="17" hidden="1" customHeight="1">
      <c r="A296" s="512">
        <v>18040</v>
      </c>
      <c r="B296" s="72">
        <v>40</v>
      </c>
      <c r="C296" s="115" t="s">
        <v>159</v>
      </c>
      <c r="D296" s="63" t="s">
        <v>137</v>
      </c>
      <c r="E296" s="64">
        <f>E307/255*B296*1.3</f>
        <v>0.11705098039215686</v>
      </c>
      <c r="F296" s="64"/>
      <c r="G296" s="64"/>
      <c r="H296" s="64"/>
      <c r="I296" s="55">
        <f t="shared" si="0"/>
        <v>341.7314392924149</v>
      </c>
      <c r="J296" s="55">
        <f>SUMIF('3-Basis ruimtestaat'!J:J,A296,'3-Basis ruimtestaat'!I:I)</f>
        <v>0</v>
      </c>
      <c r="K296" s="66" t="str">
        <f t="shared" si="24"/>
        <v/>
      </c>
      <c r="L296" s="68"/>
      <c r="M296" s="57" t="s">
        <v>136</v>
      </c>
      <c r="N296" s="69"/>
      <c r="O296" s="71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 spans="1:26" ht="17" customHeight="1">
      <c r="A297" s="512">
        <v>18052</v>
      </c>
      <c r="B297" s="72">
        <v>52</v>
      </c>
      <c r="C297" s="115" t="s">
        <v>159</v>
      </c>
      <c r="D297" s="63" t="s">
        <v>111</v>
      </c>
      <c r="E297" s="64">
        <f>E307/255*B297*1.4</f>
        <v>0.16387137254901959</v>
      </c>
      <c r="F297" s="64"/>
      <c r="G297" s="64"/>
      <c r="H297" s="64"/>
      <c r="I297" s="55">
        <f t="shared" si="0"/>
        <v>317.32205077152815</v>
      </c>
      <c r="J297" s="55">
        <f>SUMIF('3-Basis ruimtestaat'!J:J,A297,'3-Basis ruimtestaat'!I:I)</f>
        <v>77.2</v>
      </c>
      <c r="K297" s="66">
        <f t="shared" si="24"/>
        <v>5.7805571708335864E-3</v>
      </c>
      <c r="L297" s="68"/>
      <c r="M297" s="57" t="s">
        <v>136</v>
      </c>
      <c r="N297" s="69"/>
      <c r="O297" s="71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 spans="1:26" ht="17" hidden="1" customHeight="1">
      <c r="A298" s="512">
        <v>18080</v>
      </c>
      <c r="B298" s="72">
        <v>80</v>
      </c>
      <c r="C298" s="115" t="s">
        <v>159</v>
      </c>
      <c r="D298" s="63" t="s">
        <v>112</v>
      </c>
      <c r="E298" s="64">
        <f>E307/255*B298*1.2</f>
        <v>0.2160941176470588</v>
      </c>
      <c r="F298" s="64"/>
      <c r="G298" s="64"/>
      <c r="H298" s="64"/>
      <c r="I298" s="55">
        <f t="shared" si="0"/>
        <v>370.20905923344952</v>
      </c>
      <c r="J298" s="55">
        <f>SUMIF('3-Basis ruimtestaat'!J:J,A298,'3-Basis ruimtestaat'!I:I)</f>
        <v>0</v>
      </c>
      <c r="K298" s="66" t="str">
        <f t="shared" si="24"/>
        <v/>
      </c>
      <c r="L298" s="68"/>
      <c r="M298" s="57" t="s">
        <v>136</v>
      </c>
      <c r="N298" s="69"/>
      <c r="O298" s="71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 spans="1:26" ht="17" hidden="1" customHeight="1">
      <c r="A299" s="512">
        <v>18104</v>
      </c>
      <c r="B299" s="72">
        <v>104</v>
      </c>
      <c r="C299" s="115" t="s">
        <v>159</v>
      </c>
      <c r="D299" s="63" t="s">
        <v>113</v>
      </c>
      <c r="E299" s="64">
        <f>E307/255*B299*1.2</f>
        <v>0.28092235294117646</v>
      </c>
      <c r="F299" s="64"/>
      <c r="G299" s="64"/>
      <c r="H299" s="64"/>
      <c r="I299" s="55">
        <f t="shared" si="0"/>
        <v>370.20905923344952</v>
      </c>
      <c r="J299" s="55">
        <f>SUMIF('3-Basis ruimtestaat'!J:J,A299,'3-Basis ruimtestaat'!I:I)</f>
        <v>0</v>
      </c>
      <c r="K299" s="66" t="str">
        <f t="shared" si="24"/>
        <v/>
      </c>
      <c r="L299" s="68"/>
      <c r="M299" s="57" t="s">
        <v>136</v>
      </c>
      <c r="N299" s="69"/>
      <c r="O299" s="71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</row>
    <row r="300" spans="1:26" ht="17" hidden="1" customHeight="1">
      <c r="A300" s="512">
        <v>18120</v>
      </c>
      <c r="B300" s="72">
        <v>120</v>
      </c>
      <c r="C300" s="115" t="s">
        <v>159</v>
      </c>
      <c r="D300" s="63" t="s">
        <v>114</v>
      </c>
      <c r="E300" s="64">
        <f>E307/255*B300*1.2</f>
        <v>0.32414117647058821</v>
      </c>
      <c r="F300" s="64"/>
      <c r="G300" s="64"/>
      <c r="H300" s="64"/>
      <c r="I300" s="55">
        <f t="shared" si="0"/>
        <v>370.20905923344952</v>
      </c>
      <c r="J300" s="55">
        <f>SUMIF('3-Basis ruimtestaat'!J:J,A300,'3-Basis ruimtestaat'!I:I)</f>
        <v>0</v>
      </c>
      <c r="K300" s="66" t="str">
        <f t="shared" si="24"/>
        <v/>
      </c>
      <c r="L300" s="68"/>
      <c r="M300" s="57" t="s">
        <v>136</v>
      </c>
      <c r="N300" s="69"/>
      <c r="O300" s="84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</row>
    <row r="301" spans="1:26" ht="17" hidden="1" customHeight="1">
      <c r="A301" s="512">
        <v>18130</v>
      </c>
      <c r="B301" s="72">
        <v>130</v>
      </c>
      <c r="C301" s="115" t="s">
        <v>159</v>
      </c>
      <c r="D301" s="63" t="s">
        <v>115</v>
      </c>
      <c r="E301" s="64">
        <f>E307/255*B301*1.1</f>
        <v>0.32189019607843139</v>
      </c>
      <c r="F301" s="64"/>
      <c r="G301" s="64"/>
      <c r="H301" s="64"/>
      <c r="I301" s="55">
        <f t="shared" si="0"/>
        <v>403.86442825467213</v>
      </c>
      <c r="J301" s="55">
        <f>SUMIF('3-Basis ruimtestaat'!J:J,A301,'3-Basis ruimtestaat'!I:I)</f>
        <v>0</v>
      </c>
      <c r="K301" s="66" t="str">
        <f t="shared" si="24"/>
        <v/>
      </c>
      <c r="L301" s="68"/>
      <c r="M301" s="57" t="s">
        <v>136</v>
      </c>
      <c r="N301" s="69"/>
      <c r="O301" s="84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</row>
    <row r="302" spans="1:26" ht="17" customHeight="1">
      <c r="A302" s="512">
        <v>18156</v>
      </c>
      <c r="B302" s="72">
        <v>156</v>
      </c>
      <c r="C302" s="115" t="s">
        <v>159</v>
      </c>
      <c r="D302" s="63" t="s">
        <v>117</v>
      </c>
      <c r="E302" s="64">
        <f>E307/255*B302*1.1</f>
        <v>0.38626823529411763</v>
      </c>
      <c r="F302" s="64"/>
      <c r="G302" s="64"/>
      <c r="H302" s="64"/>
      <c r="I302" s="55">
        <f t="shared" si="0"/>
        <v>403.86442825467219</v>
      </c>
      <c r="J302" s="55">
        <f>SUMIF('3-Basis ruimtestaat'!J:J,A302,'3-Basis ruimtestaat'!I:I)</f>
        <v>254.5</v>
      </c>
      <c r="K302" s="66">
        <f t="shared" si="24"/>
        <v>1.9056370466025228E-2</v>
      </c>
      <c r="L302" s="68"/>
      <c r="M302" s="57" t="s">
        <v>136</v>
      </c>
      <c r="N302" s="69"/>
      <c r="O302" s="84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</row>
    <row r="303" spans="1:26" ht="17" hidden="1" customHeight="1">
      <c r="A303" s="512">
        <v>18160</v>
      </c>
      <c r="B303" s="72">
        <v>160</v>
      </c>
      <c r="C303" s="115" t="s">
        <v>159</v>
      </c>
      <c r="D303" s="63" t="s">
        <v>118</v>
      </c>
      <c r="E303" s="64">
        <f>E307/255*B303</f>
        <v>0.36015686274509801</v>
      </c>
      <c r="F303" s="64"/>
      <c r="G303" s="64"/>
      <c r="H303" s="64"/>
      <c r="I303" s="55">
        <f t="shared" si="0"/>
        <v>444.2508710801394</v>
      </c>
      <c r="J303" s="55">
        <f>SUMIF('3-Basis ruimtestaat'!J:J,A303,'3-Basis ruimtestaat'!I:I)</f>
        <v>0</v>
      </c>
      <c r="K303" s="66" t="str">
        <f t="shared" si="24"/>
        <v/>
      </c>
      <c r="L303" s="68"/>
      <c r="M303" s="57" t="s">
        <v>136</v>
      </c>
      <c r="N303" s="69"/>
      <c r="O303" s="84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</row>
    <row r="304" spans="1:26" ht="17" hidden="1" customHeight="1">
      <c r="A304" s="512">
        <v>18200</v>
      </c>
      <c r="B304" s="72">
        <v>200</v>
      </c>
      <c r="C304" s="115" t="s">
        <v>159</v>
      </c>
      <c r="D304" s="63" t="s">
        <v>119</v>
      </c>
      <c r="E304" s="64">
        <f>E307/255*B304</f>
        <v>0.45019607843137255</v>
      </c>
      <c r="F304" s="117"/>
      <c r="G304" s="117"/>
      <c r="H304" s="64"/>
      <c r="I304" s="55">
        <f t="shared" si="0"/>
        <v>444.25087108013935</v>
      </c>
      <c r="J304" s="55">
        <f>SUMIF('3-Basis ruimtestaat'!J:J,A304,'3-Basis ruimtestaat'!I:I)</f>
        <v>0</v>
      </c>
      <c r="K304" s="66" t="str">
        <f t="shared" si="24"/>
        <v/>
      </c>
      <c r="L304" s="68"/>
      <c r="M304" s="57" t="s">
        <v>136</v>
      </c>
      <c r="N304" s="69"/>
      <c r="O304" s="71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</row>
    <row r="305" spans="1:26" ht="17" hidden="1" customHeight="1">
      <c r="A305" s="512">
        <v>18208</v>
      </c>
      <c r="B305" s="72">
        <v>208</v>
      </c>
      <c r="C305" s="115" t="s">
        <v>159</v>
      </c>
      <c r="D305" s="63" t="s">
        <v>139</v>
      </c>
      <c r="E305" s="64">
        <f>E307/255*B305*1.05</f>
        <v>0.49161411764705881</v>
      </c>
      <c r="F305" s="117"/>
      <c r="G305" s="117"/>
      <c r="H305" s="64"/>
      <c r="I305" s="55">
        <f t="shared" si="0"/>
        <v>423.09606769537083</v>
      </c>
      <c r="J305" s="55">
        <f>SUMIF('3-Basis ruimtestaat'!J:J,A305,'3-Basis ruimtestaat'!I:I)</f>
        <v>0</v>
      </c>
      <c r="K305" s="66" t="str">
        <f t="shared" si="24"/>
        <v/>
      </c>
      <c r="L305" s="68"/>
      <c r="M305" s="57" t="s">
        <v>136</v>
      </c>
      <c r="N305" s="69"/>
      <c r="O305" s="71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</row>
    <row r="306" spans="1:26" ht="17" hidden="1" customHeight="1">
      <c r="A306" s="512">
        <v>18210</v>
      </c>
      <c r="B306" s="72">
        <v>210</v>
      </c>
      <c r="C306" s="115" t="s">
        <v>159</v>
      </c>
      <c r="D306" s="63" t="s">
        <v>121</v>
      </c>
      <c r="E306" s="64">
        <f>E307/255*B306</f>
        <v>0.47270588235294114</v>
      </c>
      <c r="F306" s="117"/>
      <c r="G306" s="117"/>
      <c r="H306" s="64"/>
      <c r="I306" s="55">
        <f t="shared" ref="I306" si="27">IF(E306=0,0,B306/(E306+F306+G306+H306))</f>
        <v>444.2508710801394</v>
      </c>
      <c r="J306" s="55">
        <f>SUMIF('3-Basis ruimtestaat'!J:J,A306,'3-Basis ruimtestaat'!I:I)</f>
        <v>0</v>
      </c>
      <c r="K306" s="66" t="str">
        <f t="shared" si="24"/>
        <v/>
      </c>
      <c r="L306" s="68"/>
      <c r="M306" s="57" t="s">
        <v>136</v>
      </c>
      <c r="N306" s="69"/>
      <c r="O306" s="71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</row>
    <row r="307" spans="1:26" ht="17" customHeight="1">
      <c r="A307" s="512">
        <v>18255</v>
      </c>
      <c r="B307" s="72">
        <v>255</v>
      </c>
      <c r="C307" s="115" t="s">
        <v>159</v>
      </c>
      <c r="D307" s="63" t="s">
        <v>124</v>
      </c>
      <c r="E307" s="64">
        <f>O307*$O$9</f>
        <v>0.57399999999999995</v>
      </c>
      <c r="F307" s="117"/>
      <c r="G307" s="117"/>
      <c r="H307" s="64"/>
      <c r="I307" s="55">
        <f t="shared" si="0"/>
        <v>444.2508710801394</v>
      </c>
      <c r="J307" s="55">
        <f>SUMIF('3-Basis ruimtestaat'!J:J,A307,'3-Basis ruimtestaat'!I:I)</f>
        <v>977.44</v>
      </c>
      <c r="K307" s="66">
        <f t="shared" si="24"/>
        <v>7.3188443018906479E-2</v>
      </c>
      <c r="L307" s="68"/>
      <c r="M307" s="57" t="s">
        <v>136</v>
      </c>
      <c r="N307" s="69"/>
      <c r="O307" s="92">
        <v>0.57399999999999995</v>
      </c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</row>
    <row r="308" spans="1:26" ht="17" customHeight="1" thickBot="1">
      <c r="A308" s="512">
        <v>18510</v>
      </c>
      <c r="B308" s="113">
        <v>510</v>
      </c>
      <c r="C308" s="115" t="s">
        <v>159</v>
      </c>
      <c r="D308" s="380" t="s">
        <v>125</v>
      </c>
      <c r="E308" s="64">
        <f>E307</f>
        <v>0.57399999999999995</v>
      </c>
      <c r="F308" s="64">
        <f>E308*0.5</f>
        <v>0.28699999999999998</v>
      </c>
      <c r="G308" s="64"/>
      <c r="H308" s="52"/>
      <c r="I308" s="55">
        <f t="shared" si="0"/>
        <v>592.33449477351917</v>
      </c>
      <c r="J308" s="55">
        <f>SUMIF('3-Basis ruimtestaat'!J:J,A308,'3-Basis ruimtestaat'!I:I)</f>
        <v>200</v>
      </c>
      <c r="K308" s="66">
        <f t="shared" si="24"/>
        <v>1.4975536712004108E-2</v>
      </c>
      <c r="L308" s="56"/>
      <c r="M308" s="57" t="s">
        <v>136</v>
      </c>
      <c r="N308" s="69"/>
      <c r="O308" s="71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</row>
    <row r="309" spans="1:26" ht="17" hidden="1" customHeight="1">
      <c r="A309" s="512">
        <v>19010</v>
      </c>
      <c r="B309" s="62">
        <v>10</v>
      </c>
      <c r="C309" s="206" t="s">
        <v>160</v>
      </c>
      <c r="D309" s="63" t="s">
        <v>107</v>
      </c>
      <c r="E309" s="64">
        <f>E324/255*B309*1.5</f>
        <v>2.0411764705882351E-2</v>
      </c>
      <c r="F309" s="64"/>
      <c r="G309" s="64"/>
      <c r="H309" s="64"/>
      <c r="I309" s="55">
        <f t="shared" si="0"/>
        <v>489.91354466858792</v>
      </c>
      <c r="J309" s="55">
        <f>SUMIF('3-Basis ruimtestaat'!J:J,A309,'3-Basis ruimtestaat'!I:I)</f>
        <v>0</v>
      </c>
      <c r="K309" s="66" t="str">
        <f t="shared" si="24"/>
        <v/>
      </c>
      <c r="L309" s="68"/>
      <c r="M309" s="57" t="s">
        <v>136</v>
      </c>
      <c r="N309" s="69"/>
      <c r="O309" s="71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</row>
    <row r="310" spans="1:26" ht="17" hidden="1" customHeight="1">
      <c r="A310" s="512">
        <v>19012</v>
      </c>
      <c r="B310" s="72">
        <v>12</v>
      </c>
      <c r="C310" s="206" t="s">
        <v>160</v>
      </c>
      <c r="D310" s="63" t="s">
        <v>109</v>
      </c>
      <c r="E310" s="64">
        <f>E324/255*B310*1.5</f>
        <v>2.4494117647058819E-2</v>
      </c>
      <c r="F310" s="64"/>
      <c r="G310" s="64"/>
      <c r="H310" s="64"/>
      <c r="I310" s="55">
        <f t="shared" si="0"/>
        <v>489.91354466858797</v>
      </c>
      <c r="J310" s="55">
        <f>SUMIF('3-Basis ruimtestaat'!J:J,A310,'3-Basis ruimtestaat'!I:I)</f>
        <v>0</v>
      </c>
      <c r="K310" s="66" t="str">
        <f t="shared" si="24"/>
        <v/>
      </c>
      <c r="L310" s="68"/>
      <c r="M310" s="57" t="s">
        <v>136</v>
      </c>
      <c r="N310" s="69"/>
      <c r="O310" s="71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</row>
    <row r="311" spans="1:26" ht="17" hidden="1" customHeight="1">
      <c r="A311" s="512">
        <v>19040</v>
      </c>
      <c r="B311" s="72">
        <v>40</v>
      </c>
      <c r="C311" s="206" t="s">
        <v>160</v>
      </c>
      <c r="D311" s="63" t="s">
        <v>137</v>
      </c>
      <c r="E311" s="64">
        <f>E324/255*B311*1.3</f>
        <v>7.0760784313725497E-2</v>
      </c>
      <c r="F311" s="64"/>
      <c r="G311" s="64"/>
      <c r="H311" s="64"/>
      <c r="I311" s="55">
        <f t="shared" si="0"/>
        <v>565.28485923298592</v>
      </c>
      <c r="J311" s="55">
        <f>SUMIF('3-Basis ruimtestaat'!J:J,A311,'3-Basis ruimtestaat'!I:I)</f>
        <v>0</v>
      </c>
      <c r="K311" s="66" t="str">
        <f t="shared" si="24"/>
        <v/>
      </c>
      <c r="L311" s="68"/>
      <c r="M311" s="57" t="s">
        <v>136</v>
      </c>
      <c r="N311" s="69"/>
      <c r="O311" s="71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</row>
    <row r="312" spans="1:26" ht="17" hidden="1" customHeight="1">
      <c r="A312" s="512">
        <v>19052</v>
      </c>
      <c r="B312" s="72">
        <v>52</v>
      </c>
      <c r="C312" s="206" t="s">
        <v>160</v>
      </c>
      <c r="D312" s="63" t="s">
        <v>111</v>
      </c>
      <c r="E312" s="64">
        <f>E324/255*B312*1.4</f>
        <v>9.9065098039215677E-2</v>
      </c>
      <c r="F312" s="64"/>
      <c r="G312" s="64"/>
      <c r="H312" s="64"/>
      <c r="I312" s="55">
        <f t="shared" si="0"/>
        <v>524.90736928777278</v>
      </c>
      <c r="J312" s="55">
        <f>SUMIF('3-Basis ruimtestaat'!J:J,A312,'3-Basis ruimtestaat'!I:I)</f>
        <v>0</v>
      </c>
      <c r="K312" s="66" t="str">
        <f t="shared" si="24"/>
        <v/>
      </c>
      <c r="L312" s="68"/>
      <c r="M312" s="57" t="s">
        <v>136</v>
      </c>
      <c r="N312" s="69"/>
      <c r="O312" s="71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</row>
    <row r="313" spans="1:26" ht="17" hidden="1" customHeight="1">
      <c r="A313" s="512">
        <v>19080</v>
      </c>
      <c r="B313" s="72">
        <v>80</v>
      </c>
      <c r="C313" s="206" t="s">
        <v>160</v>
      </c>
      <c r="D313" s="63" t="s">
        <v>112</v>
      </c>
      <c r="E313" s="64">
        <f>E324/255*B313*1.2</f>
        <v>0.13063529411764704</v>
      </c>
      <c r="F313" s="64"/>
      <c r="G313" s="64"/>
      <c r="H313" s="64"/>
      <c r="I313" s="55">
        <f t="shared" si="0"/>
        <v>612.39193083573491</v>
      </c>
      <c r="J313" s="55">
        <f>SUMIF('3-Basis ruimtestaat'!J:J,A313,'3-Basis ruimtestaat'!I:I)</f>
        <v>0</v>
      </c>
      <c r="K313" s="66" t="str">
        <f t="shared" si="24"/>
        <v/>
      </c>
      <c r="L313" s="68"/>
      <c r="M313" s="57" t="s">
        <v>136</v>
      </c>
      <c r="N313" s="69"/>
      <c r="O313" s="71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</row>
    <row r="314" spans="1:26" ht="17" hidden="1" customHeight="1">
      <c r="A314" s="512">
        <v>19104</v>
      </c>
      <c r="B314" s="72">
        <v>104</v>
      </c>
      <c r="C314" s="206" t="s">
        <v>160</v>
      </c>
      <c r="D314" s="63" t="s">
        <v>113</v>
      </c>
      <c r="E314" s="64">
        <f>E324/255*B314*1.2</f>
        <v>0.16982588235294116</v>
      </c>
      <c r="F314" s="64"/>
      <c r="G314" s="64"/>
      <c r="H314" s="64"/>
      <c r="I314" s="55">
        <f t="shared" si="0"/>
        <v>612.39193083573491</v>
      </c>
      <c r="J314" s="55">
        <f>SUMIF('3-Basis ruimtestaat'!J:J,A314,'3-Basis ruimtestaat'!I:I)</f>
        <v>0</v>
      </c>
      <c r="K314" s="66" t="str">
        <f t="shared" si="24"/>
        <v/>
      </c>
      <c r="L314" s="68"/>
      <c r="M314" s="57" t="s">
        <v>136</v>
      </c>
      <c r="N314" s="69"/>
      <c r="O314" s="84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</row>
    <row r="315" spans="1:26" ht="17" hidden="1" customHeight="1">
      <c r="A315" s="512">
        <v>19120</v>
      </c>
      <c r="B315" s="72">
        <v>120</v>
      </c>
      <c r="C315" s="206" t="s">
        <v>160</v>
      </c>
      <c r="D315" s="63" t="s">
        <v>114</v>
      </c>
      <c r="E315" s="64">
        <f>E324/255*B315*1.2</f>
        <v>0.19595294117647058</v>
      </c>
      <c r="F315" s="64"/>
      <c r="G315" s="64"/>
      <c r="H315" s="64"/>
      <c r="I315" s="55">
        <f t="shared" si="0"/>
        <v>612.39193083573491</v>
      </c>
      <c r="J315" s="55">
        <f>SUMIF('3-Basis ruimtestaat'!J:J,A315,'3-Basis ruimtestaat'!I:I)</f>
        <v>0</v>
      </c>
      <c r="K315" s="66" t="str">
        <f t="shared" si="24"/>
        <v/>
      </c>
      <c r="L315" s="68"/>
      <c r="M315" s="57" t="s">
        <v>136</v>
      </c>
      <c r="N315" s="69"/>
      <c r="O315" s="71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</row>
    <row r="316" spans="1:26" ht="17" hidden="1" customHeight="1">
      <c r="A316" s="512">
        <v>19130</v>
      </c>
      <c r="B316" s="72">
        <v>130</v>
      </c>
      <c r="C316" s="206" t="s">
        <v>160</v>
      </c>
      <c r="D316" s="63" t="s">
        <v>115</v>
      </c>
      <c r="E316" s="64">
        <f>E324/255*B316*1.1</f>
        <v>0.19459215686274511</v>
      </c>
      <c r="F316" s="64"/>
      <c r="G316" s="64"/>
      <c r="H316" s="64"/>
      <c r="I316" s="55">
        <f t="shared" si="0"/>
        <v>668.0639245480744</v>
      </c>
      <c r="J316" s="55">
        <f>SUMIF('3-Basis ruimtestaat'!J:J,A316,'3-Basis ruimtestaat'!I:I)</f>
        <v>0</v>
      </c>
      <c r="K316" s="66" t="str">
        <f t="shared" si="24"/>
        <v/>
      </c>
      <c r="L316" s="68"/>
      <c r="M316" s="57" t="s">
        <v>136</v>
      </c>
      <c r="N316" s="69"/>
      <c r="O316" s="71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</row>
    <row r="317" spans="1:26" ht="17" hidden="1" customHeight="1">
      <c r="A317" s="512">
        <v>19156</v>
      </c>
      <c r="B317" s="72">
        <v>156</v>
      </c>
      <c r="C317" s="206" t="s">
        <v>160</v>
      </c>
      <c r="D317" s="63" t="s">
        <v>117</v>
      </c>
      <c r="E317" s="64">
        <f>E324/255*B317*1.1</f>
        <v>0.23351058823529411</v>
      </c>
      <c r="F317" s="64"/>
      <c r="G317" s="64"/>
      <c r="H317" s="64"/>
      <c r="I317" s="55">
        <f t="shared" si="0"/>
        <v>668.0639245480744</v>
      </c>
      <c r="J317" s="55">
        <f>SUMIF('3-Basis ruimtestaat'!J:J,A317,'3-Basis ruimtestaat'!I:I)</f>
        <v>0</v>
      </c>
      <c r="K317" s="66" t="str">
        <f t="shared" si="24"/>
        <v/>
      </c>
      <c r="L317" s="68"/>
      <c r="M317" s="57" t="s">
        <v>136</v>
      </c>
      <c r="N317" s="69"/>
      <c r="O317" s="71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</row>
    <row r="318" spans="1:26" ht="17" hidden="1" customHeight="1">
      <c r="A318" s="512">
        <v>19160</v>
      </c>
      <c r="B318" s="72">
        <v>160</v>
      </c>
      <c r="C318" s="206" t="s">
        <v>160</v>
      </c>
      <c r="D318" s="63" t="s">
        <v>118</v>
      </c>
      <c r="E318" s="64">
        <f>E324/255*B318</f>
        <v>0.21772549019607843</v>
      </c>
      <c r="F318" s="64"/>
      <c r="G318" s="64"/>
      <c r="H318" s="64"/>
      <c r="I318" s="55">
        <f t="shared" ref="I318:I481" si="28">IF(E318=0,0,B318/(E318+F318+G318+H318))</f>
        <v>734.87031700288185</v>
      </c>
      <c r="J318" s="55">
        <f>SUMIF('3-Basis ruimtestaat'!J:J,A318,'3-Basis ruimtestaat'!I:I)</f>
        <v>0</v>
      </c>
      <c r="K318" s="66" t="str">
        <f t="shared" si="24"/>
        <v/>
      </c>
      <c r="L318" s="68"/>
      <c r="M318" s="57" t="s">
        <v>136</v>
      </c>
      <c r="N318" s="69"/>
      <c r="O318" s="71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</row>
    <row r="319" spans="1:26" ht="17" hidden="1" customHeight="1">
      <c r="A319" s="512">
        <v>19200</v>
      </c>
      <c r="B319" s="72">
        <v>200</v>
      </c>
      <c r="C319" s="206" t="s">
        <v>160</v>
      </c>
      <c r="D319" s="63" t="s">
        <v>119</v>
      </c>
      <c r="E319" s="64">
        <f>E324/255*B319</f>
        <v>0.27215686274509804</v>
      </c>
      <c r="F319" s="64"/>
      <c r="G319" s="64"/>
      <c r="H319" s="64"/>
      <c r="I319" s="55">
        <f t="shared" si="28"/>
        <v>734.87031700288185</v>
      </c>
      <c r="J319" s="55">
        <f>SUMIF('3-Basis ruimtestaat'!J:J,A319,'3-Basis ruimtestaat'!I:I)</f>
        <v>0</v>
      </c>
      <c r="K319" s="66" t="str">
        <f t="shared" si="24"/>
        <v/>
      </c>
      <c r="L319" s="68"/>
      <c r="M319" s="57" t="s">
        <v>136</v>
      </c>
      <c r="N319" s="69"/>
      <c r="O319" s="71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</row>
    <row r="320" spans="1:26" ht="17" customHeight="1">
      <c r="A320" s="512">
        <v>19205</v>
      </c>
      <c r="B320" s="72">
        <v>205</v>
      </c>
      <c r="C320" s="206" t="s">
        <v>160</v>
      </c>
      <c r="D320" s="380" t="s">
        <v>120</v>
      </c>
      <c r="E320" s="64">
        <f>E324/255*B320*1.05</f>
        <v>0.29290882352941172</v>
      </c>
      <c r="F320" s="64"/>
      <c r="G320" s="64"/>
      <c r="H320" s="64"/>
      <c r="I320" s="55">
        <f t="shared" si="28"/>
        <v>699.87649238369704</v>
      </c>
      <c r="J320" s="55">
        <f>SUMIF('3-Basis ruimtestaat'!J:J,A320,'3-Basis ruimtestaat'!I:I)</f>
        <v>392.66</v>
      </c>
      <c r="K320" s="66">
        <f t="shared" si="24"/>
        <v>2.9401471226677668E-2</v>
      </c>
      <c r="L320" s="68"/>
      <c r="M320" s="57" t="s">
        <v>136</v>
      </c>
      <c r="N320" s="69"/>
      <c r="O320" s="71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</row>
    <row r="321" spans="1:26" ht="17" hidden="1" customHeight="1">
      <c r="A321" s="512">
        <v>19210</v>
      </c>
      <c r="B321" s="72">
        <v>210</v>
      </c>
      <c r="C321" s="206" t="s">
        <v>160</v>
      </c>
      <c r="D321" s="63" t="s">
        <v>121</v>
      </c>
      <c r="E321" s="64">
        <f>E324/255*B321</f>
        <v>0.28576470588235292</v>
      </c>
      <c r="F321" s="64"/>
      <c r="G321" s="64"/>
      <c r="H321" s="64"/>
      <c r="I321" s="55">
        <f t="shared" si="28"/>
        <v>734.87031700288185</v>
      </c>
      <c r="J321" s="55">
        <f>SUMIF('3-Basis ruimtestaat'!J:J,A321,'3-Basis ruimtestaat'!I:I)</f>
        <v>0</v>
      </c>
      <c r="K321" s="66" t="str">
        <f t="shared" si="24"/>
        <v/>
      </c>
      <c r="L321" s="68"/>
      <c r="M321" s="57" t="s">
        <v>136</v>
      </c>
      <c r="N321" s="69"/>
      <c r="O321" s="71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</row>
    <row r="322" spans="1:26" ht="17" hidden="1" customHeight="1">
      <c r="A322" s="512">
        <v>19230</v>
      </c>
      <c r="B322" s="72">
        <v>230</v>
      </c>
      <c r="C322" s="206" t="s">
        <v>160</v>
      </c>
      <c r="D322" s="63" t="s">
        <v>122</v>
      </c>
      <c r="E322" s="64">
        <f>E324/255*B322</f>
        <v>0.31298039215686274</v>
      </c>
      <c r="F322" s="64"/>
      <c r="G322" s="64"/>
      <c r="H322" s="64"/>
      <c r="I322" s="55">
        <f t="shared" ref="I322:I323" si="29">IF(E322=0,0,B322/(E322+F322+G322+H322))</f>
        <v>734.87031700288185</v>
      </c>
      <c r="J322" s="55">
        <f>SUMIF('3-Basis ruimtestaat'!J:J,A322,'3-Basis ruimtestaat'!I:I)</f>
        <v>0</v>
      </c>
      <c r="K322" s="66" t="str">
        <f t="shared" si="24"/>
        <v/>
      </c>
      <c r="L322" s="68"/>
      <c r="M322" s="57" t="s">
        <v>136</v>
      </c>
      <c r="N322" s="69"/>
      <c r="O322" s="71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</row>
    <row r="323" spans="1:26" ht="17" hidden="1" customHeight="1">
      <c r="A323" s="512">
        <v>19245</v>
      </c>
      <c r="B323" s="72">
        <v>245</v>
      </c>
      <c r="C323" s="206" t="s">
        <v>160</v>
      </c>
      <c r="D323" s="63" t="s">
        <v>123</v>
      </c>
      <c r="E323" s="64">
        <f>E324/255*B323</f>
        <v>0.33339215686274509</v>
      </c>
      <c r="F323" s="64"/>
      <c r="G323" s="64"/>
      <c r="H323" s="64"/>
      <c r="I323" s="55">
        <f t="shared" si="29"/>
        <v>734.87031700288185</v>
      </c>
      <c r="J323" s="55">
        <f>SUMIF('3-Basis ruimtestaat'!J:J,A323,'3-Basis ruimtestaat'!I:I)</f>
        <v>0</v>
      </c>
      <c r="K323" s="66" t="str">
        <f t="shared" si="24"/>
        <v/>
      </c>
      <c r="L323" s="68"/>
      <c r="M323" s="57" t="s">
        <v>136</v>
      </c>
      <c r="N323" s="69"/>
      <c r="O323" s="84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</row>
    <row r="324" spans="1:26" ht="17" customHeight="1" thickBot="1">
      <c r="A324" s="512">
        <v>19255</v>
      </c>
      <c r="B324" s="72">
        <v>255</v>
      </c>
      <c r="C324" s="206" t="s">
        <v>160</v>
      </c>
      <c r="D324" s="63" t="s">
        <v>124</v>
      </c>
      <c r="E324" s="64">
        <f>O324*$O$9</f>
        <v>0.34699999999999998</v>
      </c>
      <c r="F324" s="64"/>
      <c r="G324" s="64"/>
      <c r="H324" s="64"/>
      <c r="I324" s="55">
        <f t="shared" si="28"/>
        <v>734.87031700288185</v>
      </c>
      <c r="J324" s="55">
        <f>SUMIF('3-Basis ruimtestaat'!J:J,A324,'3-Basis ruimtestaat'!I:I)</f>
        <v>299</v>
      </c>
      <c r="K324" s="66">
        <f t="shared" si="24"/>
        <v>2.2388427384446141E-2</v>
      </c>
      <c r="L324" s="68"/>
      <c r="M324" s="57" t="s">
        <v>136</v>
      </c>
      <c r="N324" s="69"/>
      <c r="O324" s="204">
        <v>0.34699999999999998</v>
      </c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</row>
    <row r="325" spans="1:26" ht="17" hidden="1" customHeight="1" thickBot="1">
      <c r="A325" s="512">
        <v>19365</v>
      </c>
      <c r="B325" s="113">
        <v>365</v>
      </c>
      <c r="C325" s="206" t="s">
        <v>160</v>
      </c>
      <c r="D325" s="63" t="s">
        <v>129</v>
      </c>
      <c r="E325" s="64">
        <f>E324</f>
        <v>0.34699999999999998</v>
      </c>
      <c r="F325" s="64"/>
      <c r="G325" s="64">
        <f>E325/255*104*0.8</f>
        <v>0.11321725490196077</v>
      </c>
      <c r="H325" s="64"/>
      <c r="I325" s="55">
        <f t="shared" si="28"/>
        <v>793.10368334137161</v>
      </c>
      <c r="J325" s="55">
        <f>SUMIF('3-Basis ruimtestaat'!J:J,A325,'3-Basis ruimtestaat'!I:I)</f>
        <v>0</v>
      </c>
      <c r="K325" s="66" t="str">
        <f t="shared" si="24"/>
        <v/>
      </c>
      <c r="L325" s="68"/>
      <c r="M325" s="57" t="s">
        <v>136</v>
      </c>
      <c r="N325" s="69"/>
      <c r="O325" s="71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</row>
    <row r="326" spans="1:26" ht="17" hidden="1" customHeight="1">
      <c r="A326" s="512">
        <v>20010</v>
      </c>
      <c r="B326" s="62">
        <v>10</v>
      </c>
      <c r="C326" s="115"/>
      <c r="D326" s="63" t="s">
        <v>107</v>
      </c>
      <c r="E326" s="64">
        <f>E338/255*B326*1.5</f>
        <v>0</v>
      </c>
      <c r="F326" s="64"/>
      <c r="G326" s="64"/>
      <c r="H326" s="64"/>
      <c r="I326" s="55">
        <f t="shared" si="28"/>
        <v>0</v>
      </c>
      <c r="J326" s="55">
        <f>SUMIF('3-Basis ruimtestaat'!J:J,A326,'3-Basis ruimtestaat'!I:I)</f>
        <v>0</v>
      </c>
      <c r="K326" s="66" t="str">
        <f t="shared" si="24"/>
        <v/>
      </c>
      <c r="L326" s="68"/>
      <c r="M326" s="57"/>
      <c r="N326" s="69"/>
      <c r="O326" s="84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</row>
    <row r="327" spans="1:26" ht="17" hidden="1" customHeight="1">
      <c r="A327" s="512">
        <v>20012</v>
      </c>
      <c r="B327" s="72">
        <v>12</v>
      </c>
      <c r="C327" s="115"/>
      <c r="D327" s="63" t="s">
        <v>109</v>
      </c>
      <c r="E327" s="64">
        <f>E338/255*B327*1.5</f>
        <v>0</v>
      </c>
      <c r="F327" s="64"/>
      <c r="G327" s="64"/>
      <c r="H327" s="64"/>
      <c r="I327" s="55">
        <f t="shared" si="28"/>
        <v>0</v>
      </c>
      <c r="J327" s="55">
        <f>SUMIF('3-Basis ruimtestaat'!J:J,A327,'3-Basis ruimtestaat'!I:I)</f>
        <v>0</v>
      </c>
      <c r="K327" s="66" t="str">
        <f t="shared" si="24"/>
        <v/>
      </c>
      <c r="L327" s="68"/>
      <c r="M327" s="57"/>
      <c r="N327" s="69"/>
      <c r="O327" s="71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</row>
    <row r="328" spans="1:26" ht="17" hidden="1" customHeight="1">
      <c r="A328" s="512">
        <v>20040</v>
      </c>
      <c r="B328" s="72">
        <v>40</v>
      </c>
      <c r="C328" s="116"/>
      <c r="D328" s="63" t="s">
        <v>137</v>
      </c>
      <c r="E328" s="64">
        <f>E338/255*B328*1.3</f>
        <v>0</v>
      </c>
      <c r="F328" s="64"/>
      <c r="G328" s="64"/>
      <c r="H328" s="64"/>
      <c r="I328" s="55">
        <f t="shared" si="28"/>
        <v>0</v>
      </c>
      <c r="J328" s="55">
        <f>SUMIF('3-Basis ruimtestaat'!J:J,A328,'3-Basis ruimtestaat'!I:I)</f>
        <v>0</v>
      </c>
      <c r="K328" s="66" t="str">
        <f t="shared" si="24"/>
        <v/>
      </c>
      <c r="L328" s="68"/>
      <c r="M328" s="57"/>
      <c r="N328" s="69"/>
      <c r="O328" s="71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</row>
    <row r="329" spans="1:26" ht="17" hidden="1" customHeight="1">
      <c r="A329" s="512">
        <v>20052</v>
      </c>
      <c r="B329" s="72">
        <v>52</v>
      </c>
      <c r="C329" s="116"/>
      <c r="D329" s="63" t="s">
        <v>111</v>
      </c>
      <c r="E329" s="64">
        <f>E338/255*B329*1.4</f>
        <v>0</v>
      </c>
      <c r="F329" s="64"/>
      <c r="G329" s="64"/>
      <c r="H329" s="64"/>
      <c r="I329" s="55">
        <f t="shared" si="28"/>
        <v>0</v>
      </c>
      <c r="J329" s="55">
        <f>SUMIF('3-Basis ruimtestaat'!J:J,A329,'3-Basis ruimtestaat'!I:I)</f>
        <v>0</v>
      </c>
      <c r="K329" s="66" t="str">
        <f t="shared" si="24"/>
        <v/>
      </c>
      <c r="L329" s="68"/>
      <c r="M329" s="57"/>
      <c r="N329" s="69"/>
      <c r="O329" s="71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</row>
    <row r="330" spans="1:26" ht="17" hidden="1" customHeight="1">
      <c r="A330" s="512">
        <v>20080</v>
      </c>
      <c r="B330" s="72">
        <v>80</v>
      </c>
      <c r="C330" s="116"/>
      <c r="D330" s="63" t="s">
        <v>112</v>
      </c>
      <c r="E330" s="64">
        <f>E338/255*B330*1.2</f>
        <v>0</v>
      </c>
      <c r="F330" s="64"/>
      <c r="G330" s="64"/>
      <c r="H330" s="64"/>
      <c r="I330" s="55">
        <f t="shared" si="28"/>
        <v>0</v>
      </c>
      <c r="J330" s="55">
        <f>SUMIF('3-Basis ruimtestaat'!J:J,A330,'3-Basis ruimtestaat'!I:I)</f>
        <v>0</v>
      </c>
      <c r="K330" s="66" t="str">
        <f t="shared" si="24"/>
        <v/>
      </c>
      <c r="L330" s="68"/>
      <c r="M330" s="57"/>
      <c r="N330" s="69"/>
      <c r="O330" s="71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</row>
    <row r="331" spans="1:26" ht="17" hidden="1" customHeight="1">
      <c r="A331" s="512">
        <v>20104</v>
      </c>
      <c r="B331" s="72">
        <v>104</v>
      </c>
      <c r="C331" s="116"/>
      <c r="D331" s="63" t="s">
        <v>113</v>
      </c>
      <c r="E331" s="64">
        <f>E338/255*B331*1.2</f>
        <v>0</v>
      </c>
      <c r="F331" s="64"/>
      <c r="G331" s="64"/>
      <c r="H331" s="64"/>
      <c r="I331" s="55">
        <f t="shared" si="28"/>
        <v>0</v>
      </c>
      <c r="J331" s="55">
        <f>SUMIF('3-Basis ruimtestaat'!J:J,A331,'3-Basis ruimtestaat'!I:I)</f>
        <v>0</v>
      </c>
      <c r="K331" s="66" t="str">
        <f t="shared" si="24"/>
        <v/>
      </c>
      <c r="L331" s="68"/>
      <c r="M331" s="57"/>
      <c r="N331" s="69"/>
      <c r="O331" s="71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</row>
    <row r="332" spans="1:26" ht="17" hidden="1" customHeight="1">
      <c r="A332" s="512">
        <v>20120</v>
      </c>
      <c r="B332" s="72">
        <v>120</v>
      </c>
      <c r="C332" s="116"/>
      <c r="D332" s="63" t="s">
        <v>114</v>
      </c>
      <c r="E332" s="64">
        <f>E338/255*B332*1.2</f>
        <v>0</v>
      </c>
      <c r="F332" s="64"/>
      <c r="G332" s="64"/>
      <c r="H332" s="64"/>
      <c r="I332" s="55">
        <f t="shared" si="28"/>
        <v>0</v>
      </c>
      <c r="J332" s="55">
        <f>SUMIF('3-Basis ruimtestaat'!J:J,A332,'3-Basis ruimtestaat'!I:I)</f>
        <v>0</v>
      </c>
      <c r="K332" s="66" t="str">
        <f t="shared" si="24"/>
        <v/>
      </c>
      <c r="L332" s="68"/>
      <c r="M332" s="57"/>
      <c r="N332" s="69"/>
      <c r="O332" s="84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</row>
    <row r="333" spans="1:26" ht="17" hidden="1" customHeight="1">
      <c r="A333" s="512">
        <v>20130</v>
      </c>
      <c r="B333" s="72">
        <v>130</v>
      </c>
      <c r="C333" s="116"/>
      <c r="D333" s="63" t="s">
        <v>115</v>
      </c>
      <c r="E333" s="64">
        <f>E338/255*B333*1.1</f>
        <v>0</v>
      </c>
      <c r="F333" s="64"/>
      <c r="G333" s="64"/>
      <c r="H333" s="64"/>
      <c r="I333" s="55">
        <f t="shared" si="28"/>
        <v>0</v>
      </c>
      <c r="J333" s="55">
        <f>SUMIF('3-Basis ruimtestaat'!J:J,A333,'3-Basis ruimtestaat'!I:I)</f>
        <v>0</v>
      </c>
      <c r="K333" s="66" t="str">
        <f t="shared" si="24"/>
        <v/>
      </c>
      <c r="L333" s="68"/>
      <c r="M333" s="57"/>
      <c r="N333" s="69"/>
      <c r="O333" s="84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</row>
    <row r="334" spans="1:26" ht="17" hidden="1" customHeight="1">
      <c r="A334" s="512">
        <v>20156</v>
      </c>
      <c r="B334" s="72">
        <v>156</v>
      </c>
      <c r="C334" s="115"/>
      <c r="D334" s="63" t="s">
        <v>117</v>
      </c>
      <c r="E334" s="64">
        <f>E338/255*B334*1.1</f>
        <v>0</v>
      </c>
      <c r="F334" s="64"/>
      <c r="G334" s="64"/>
      <c r="H334" s="64"/>
      <c r="I334" s="55">
        <f t="shared" si="28"/>
        <v>0</v>
      </c>
      <c r="J334" s="55">
        <f>SUMIF('3-Basis ruimtestaat'!J:J,A334,'3-Basis ruimtestaat'!I:I)</f>
        <v>0</v>
      </c>
      <c r="K334" s="66" t="str">
        <f t="shared" si="24"/>
        <v/>
      </c>
      <c r="L334" s="68"/>
      <c r="M334" s="57"/>
      <c r="N334" s="69"/>
      <c r="O334" s="71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</row>
    <row r="335" spans="1:26" ht="17" hidden="1" customHeight="1">
      <c r="A335" s="512">
        <v>20160</v>
      </c>
      <c r="B335" s="72">
        <v>160</v>
      </c>
      <c r="C335" s="115"/>
      <c r="D335" s="63" t="s">
        <v>118</v>
      </c>
      <c r="E335" s="64">
        <f>E338/255*B335</f>
        <v>0</v>
      </c>
      <c r="F335" s="64"/>
      <c r="G335" s="64"/>
      <c r="H335" s="64"/>
      <c r="I335" s="55">
        <f t="shared" si="28"/>
        <v>0</v>
      </c>
      <c r="J335" s="55">
        <f>SUMIF('3-Basis ruimtestaat'!J:J,A335,'3-Basis ruimtestaat'!I:I)</f>
        <v>0</v>
      </c>
      <c r="K335" s="66" t="str">
        <f t="shared" si="24"/>
        <v/>
      </c>
      <c r="L335" s="68"/>
      <c r="M335" s="57"/>
      <c r="N335" s="69"/>
      <c r="O335" s="84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</row>
    <row r="336" spans="1:26" ht="17" hidden="1" customHeight="1">
      <c r="A336" s="512">
        <v>20200</v>
      </c>
      <c r="B336" s="72">
        <v>200</v>
      </c>
      <c r="C336" s="116"/>
      <c r="D336" s="63" t="s">
        <v>119</v>
      </c>
      <c r="E336" s="64">
        <f>E338/255*B336</f>
        <v>0</v>
      </c>
      <c r="F336" s="64"/>
      <c r="G336" s="64"/>
      <c r="H336" s="64"/>
      <c r="I336" s="55">
        <f t="shared" si="28"/>
        <v>0</v>
      </c>
      <c r="J336" s="55">
        <f>SUMIF('3-Basis ruimtestaat'!J:J,A336,'3-Basis ruimtestaat'!I:I)</f>
        <v>0</v>
      </c>
      <c r="K336" s="66" t="str">
        <f t="shared" si="24"/>
        <v/>
      </c>
      <c r="L336" s="68"/>
      <c r="M336" s="57"/>
      <c r="N336" s="69"/>
      <c r="O336" s="71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</row>
    <row r="337" spans="1:26" ht="17" hidden="1" customHeight="1">
      <c r="A337" s="512">
        <v>20208</v>
      </c>
      <c r="B337" s="72">
        <v>208</v>
      </c>
      <c r="C337" s="116"/>
      <c r="D337" s="63" t="s">
        <v>139</v>
      </c>
      <c r="E337" s="64">
        <f>E338/255*B337*1.05</f>
        <v>0</v>
      </c>
      <c r="F337" s="64"/>
      <c r="G337" s="64"/>
      <c r="H337" s="64"/>
      <c r="I337" s="55">
        <f t="shared" si="28"/>
        <v>0</v>
      </c>
      <c r="J337" s="55">
        <f>SUMIF('3-Basis ruimtestaat'!J:J,A337,'3-Basis ruimtestaat'!I:I)</f>
        <v>0</v>
      </c>
      <c r="K337" s="66" t="str">
        <f t="shared" ref="K337:K358" si="30">IF(J337=0,"",J337/$J$482)</f>
        <v/>
      </c>
      <c r="L337" s="68"/>
      <c r="M337" s="57"/>
      <c r="N337" s="69"/>
      <c r="O337" s="84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</row>
    <row r="338" spans="1:26" ht="17" hidden="1" customHeight="1">
      <c r="A338" s="512">
        <v>20255</v>
      </c>
      <c r="B338" s="72">
        <v>255</v>
      </c>
      <c r="C338" s="115"/>
      <c r="D338" s="63" t="s">
        <v>124</v>
      </c>
      <c r="E338" s="64">
        <f>O338*$O$9</f>
        <v>0</v>
      </c>
      <c r="F338" s="64"/>
      <c r="G338" s="64"/>
      <c r="H338" s="64"/>
      <c r="I338" s="55">
        <f t="shared" si="28"/>
        <v>0</v>
      </c>
      <c r="J338" s="55">
        <f>SUMIF('3-Basis ruimtestaat'!J:J,A338,'3-Basis ruimtestaat'!I:I)</f>
        <v>0</v>
      </c>
      <c r="K338" s="66" t="str">
        <f t="shared" si="30"/>
        <v/>
      </c>
      <c r="L338" s="68"/>
      <c r="M338" s="57"/>
      <c r="N338" s="69"/>
      <c r="O338" s="84">
        <v>0</v>
      </c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</row>
    <row r="339" spans="1:26" ht="17" hidden="1" customHeight="1" thickBot="1">
      <c r="A339" s="512">
        <v>20365</v>
      </c>
      <c r="B339" s="113">
        <v>365</v>
      </c>
      <c r="C339" s="115"/>
      <c r="D339" s="63" t="s">
        <v>129</v>
      </c>
      <c r="E339" s="64">
        <f>E338</f>
        <v>0</v>
      </c>
      <c r="F339" s="64"/>
      <c r="G339" s="64">
        <f>E339/255*104*0.8</f>
        <v>0</v>
      </c>
      <c r="H339" s="64"/>
      <c r="I339" s="55">
        <f t="shared" si="28"/>
        <v>0</v>
      </c>
      <c r="J339" s="55">
        <f>SUMIF('3-Basis ruimtestaat'!J:J,A339,'3-Basis ruimtestaat'!I:I)</f>
        <v>0</v>
      </c>
      <c r="K339" s="66" t="str">
        <f t="shared" si="30"/>
        <v/>
      </c>
      <c r="L339" s="68"/>
      <c r="M339" s="57"/>
      <c r="N339" s="69"/>
      <c r="O339" s="71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</row>
    <row r="340" spans="1:26" ht="17" hidden="1" customHeight="1">
      <c r="A340" s="512">
        <v>21010</v>
      </c>
      <c r="B340" s="62">
        <v>10</v>
      </c>
      <c r="C340" s="115"/>
      <c r="D340" s="63" t="s">
        <v>107</v>
      </c>
      <c r="E340" s="64">
        <f>E352/255*B340*1.5</f>
        <v>0</v>
      </c>
      <c r="F340" s="64"/>
      <c r="G340" s="64"/>
      <c r="H340" s="64"/>
      <c r="I340" s="55">
        <f t="shared" si="28"/>
        <v>0</v>
      </c>
      <c r="J340" s="55">
        <f>SUMIF('3-Basis ruimtestaat'!J:J,A340,'3-Basis ruimtestaat'!I:I)</f>
        <v>0</v>
      </c>
      <c r="K340" s="66" t="str">
        <f t="shared" si="30"/>
        <v/>
      </c>
      <c r="L340" s="68"/>
      <c r="M340" s="57"/>
      <c r="N340" s="69"/>
      <c r="O340" s="84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</row>
    <row r="341" spans="1:26" ht="17" hidden="1" customHeight="1">
      <c r="A341" s="512">
        <v>21012</v>
      </c>
      <c r="B341" s="72">
        <v>12</v>
      </c>
      <c r="C341" s="116"/>
      <c r="D341" s="63" t="s">
        <v>109</v>
      </c>
      <c r="E341" s="64">
        <f>E352/255*B341*1.5</f>
        <v>0</v>
      </c>
      <c r="F341" s="64"/>
      <c r="G341" s="64"/>
      <c r="H341" s="64"/>
      <c r="I341" s="55">
        <f t="shared" si="28"/>
        <v>0</v>
      </c>
      <c r="J341" s="55">
        <f>SUMIF('3-Basis ruimtestaat'!J:J,A341,'3-Basis ruimtestaat'!I:I)</f>
        <v>0</v>
      </c>
      <c r="K341" s="66" t="str">
        <f t="shared" si="30"/>
        <v/>
      </c>
      <c r="L341" s="68"/>
      <c r="M341" s="57"/>
      <c r="N341" s="69"/>
      <c r="O341" s="71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</row>
    <row r="342" spans="1:26" ht="17" hidden="1" customHeight="1">
      <c r="A342" s="512">
        <v>21040</v>
      </c>
      <c r="B342" s="72">
        <v>40</v>
      </c>
      <c r="C342" s="116"/>
      <c r="D342" s="63" t="s">
        <v>137</v>
      </c>
      <c r="E342" s="64">
        <f>E352/255*B342*1.3</f>
        <v>0</v>
      </c>
      <c r="F342" s="64"/>
      <c r="G342" s="64"/>
      <c r="H342" s="64"/>
      <c r="I342" s="55">
        <f t="shared" si="28"/>
        <v>0</v>
      </c>
      <c r="J342" s="55">
        <f>SUMIF('3-Basis ruimtestaat'!J:J,A342,'3-Basis ruimtestaat'!I:I)</f>
        <v>0</v>
      </c>
      <c r="K342" s="66" t="str">
        <f t="shared" si="30"/>
        <v/>
      </c>
      <c r="L342" s="68"/>
      <c r="M342" s="57"/>
      <c r="N342" s="69"/>
      <c r="O342" s="71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</row>
    <row r="343" spans="1:26" ht="17" hidden="1" customHeight="1">
      <c r="A343" s="512">
        <v>21052</v>
      </c>
      <c r="B343" s="72">
        <v>52</v>
      </c>
      <c r="C343" s="116"/>
      <c r="D343" s="63" t="s">
        <v>111</v>
      </c>
      <c r="E343" s="64">
        <f>E352/255*B343*1.4</f>
        <v>0</v>
      </c>
      <c r="F343" s="64"/>
      <c r="G343" s="64"/>
      <c r="H343" s="64"/>
      <c r="I343" s="55">
        <f t="shared" si="28"/>
        <v>0</v>
      </c>
      <c r="J343" s="55">
        <f>SUMIF('3-Basis ruimtestaat'!J:J,A343,'3-Basis ruimtestaat'!I:I)</f>
        <v>0</v>
      </c>
      <c r="K343" s="66" t="str">
        <f t="shared" si="30"/>
        <v/>
      </c>
      <c r="L343" s="68"/>
      <c r="M343" s="57"/>
      <c r="N343" s="69"/>
      <c r="O343" s="71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</row>
    <row r="344" spans="1:26" ht="17" hidden="1" customHeight="1">
      <c r="A344" s="512">
        <v>21080</v>
      </c>
      <c r="B344" s="72">
        <v>80</v>
      </c>
      <c r="C344" s="116"/>
      <c r="D344" s="63" t="s">
        <v>112</v>
      </c>
      <c r="E344" s="64">
        <f>E352/255*B344*1.2</f>
        <v>0</v>
      </c>
      <c r="F344" s="64"/>
      <c r="G344" s="64"/>
      <c r="H344" s="64"/>
      <c r="I344" s="55">
        <f t="shared" si="28"/>
        <v>0</v>
      </c>
      <c r="J344" s="55">
        <f>SUMIF('3-Basis ruimtestaat'!J:J,A344,'3-Basis ruimtestaat'!I:I)</f>
        <v>0</v>
      </c>
      <c r="K344" s="66" t="str">
        <f t="shared" si="30"/>
        <v/>
      </c>
      <c r="L344" s="68"/>
      <c r="M344" s="57"/>
      <c r="N344" s="69"/>
      <c r="O344" s="71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</row>
    <row r="345" spans="1:26" ht="17" hidden="1" customHeight="1">
      <c r="A345" s="512">
        <v>21104</v>
      </c>
      <c r="B345" s="72">
        <v>104</v>
      </c>
      <c r="C345" s="116"/>
      <c r="D345" s="63" t="s">
        <v>113</v>
      </c>
      <c r="E345" s="64">
        <f>E352/255*B345*1.2</f>
        <v>0</v>
      </c>
      <c r="F345" s="64"/>
      <c r="G345" s="64"/>
      <c r="H345" s="64"/>
      <c r="I345" s="55">
        <f t="shared" si="28"/>
        <v>0</v>
      </c>
      <c r="J345" s="55">
        <f>SUMIF('3-Basis ruimtestaat'!J:J,A345,'3-Basis ruimtestaat'!I:I)</f>
        <v>0</v>
      </c>
      <c r="K345" s="66" t="str">
        <f t="shared" si="30"/>
        <v/>
      </c>
      <c r="L345" s="68"/>
      <c r="M345" s="57"/>
      <c r="N345" s="69"/>
      <c r="O345" s="84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</row>
    <row r="346" spans="1:26" ht="17" hidden="1" customHeight="1">
      <c r="A346" s="512">
        <v>21120</v>
      </c>
      <c r="B346" s="72">
        <v>120</v>
      </c>
      <c r="C346" s="116"/>
      <c r="D346" s="63" t="s">
        <v>114</v>
      </c>
      <c r="E346" s="64">
        <f>E352/255*B346*1.2</f>
        <v>0</v>
      </c>
      <c r="F346" s="64"/>
      <c r="G346" s="64"/>
      <c r="H346" s="64"/>
      <c r="I346" s="55">
        <f t="shared" si="28"/>
        <v>0</v>
      </c>
      <c r="J346" s="55">
        <f>SUMIF('3-Basis ruimtestaat'!J:J,A346,'3-Basis ruimtestaat'!I:I)</f>
        <v>0</v>
      </c>
      <c r="K346" s="66" t="str">
        <f t="shared" si="30"/>
        <v/>
      </c>
      <c r="L346" s="68"/>
      <c r="M346" s="57"/>
      <c r="N346" s="69"/>
      <c r="O346" s="84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</row>
    <row r="347" spans="1:26" ht="17" hidden="1" customHeight="1">
      <c r="A347" s="512">
        <v>21130</v>
      </c>
      <c r="B347" s="72">
        <v>130</v>
      </c>
      <c r="C347" s="116"/>
      <c r="D347" s="63" t="s">
        <v>115</v>
      </c>
      <c r="E347" s="64">
        <f>E352/255*B347*1.1</f>
        <v>0</v>
      </c>
      <c r="F347" s="64"/>
      <c r="G347" s="64"/>
      <c r="H347" s="64"/>
      <c r="I347" s="55">
        <f t="shared" si="28"/>
        <v>0</v>
      </c>
      <c r="J347" s="55">
        <f>SUMIF('3-Basis ruimtestaat'!J:J,A347,'3-Basis ruimtestaat'!I:I)</f>
        <v>0</v>
      </c>
      <c r="K347" s="66" t="str">
        <f t="shared" si="30"/>
        <v/>
      </c>
      <c r="L347" s="68"/>
      <c r="M347" s="57"/>
      <c r="N347" s="69"/>
      <c r="O347" s="84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</row>
    <row r="348" spans="1:26" ht="17" hidden="1" customHeight="1">
      <c r="A348" s="512">
        <v>21156</v>
      </c>
      <c r="B348" s="72">
        <v>156</v>
      </c>
      <c r="C348" s="115"/>
      <c r="D348" s="63" t="s">
        <v>117</v>
      </c>
      <c r="E348" s="64">
        <f>E352/255*B348*1.1</f>
        <v>0</v>
      </c>
      <c r="F348" s="64"/>
      <c r="G348" s="64"/>
      <c r="H348" s="64"/>
      <c r="I348" s="55">
        <f t="shared" si="28"/>
        <v>0</v>
      </c>
      <c r="J348" s="55">
        <f>SUMIF('3-Basis ruimtestaat'!J:J,A348,'3-Basis ruimtestaat'!I:I)</f>
        <v>0</v>
      </c>
      <c r="K348" s="66" t="str">
        <f t="shared" si="30"/>
        <v/>
      </c>
      <c r="L348" s="68"/>
      <c r="M348" s="57"/>
      <c r="N348" s="69"/>
      <c r="O348" s="71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</row>
    <row r="349" spans="1:26" ht="17" hidden="1" customHeight="1">
      <c r="A349" s="512">
        <v>21160</v>
      </c>
      <c r="B349" s="72">
        <v>160</v>
      </c>
      <c r="C349" s="115"/>
      <c r="D349" s="63" t="s">
        <v>118</v>
      </c>
      <c r="E349" s="64">
        <f>E352/255*B349</f>
        <v>0</v>
      </c>
      <c r="F349" s="64"/>
      <c r="G349" s="64"/>
      <c r="H349" s="64"/>
      <c r="I349" s="55">
        <f t="shared" si="28"/>
        <v>0</v>
      </c>
      <c r="J349" s="55">
        <f>SUMIF('3-Basis ruimtestaat'!J:J,A349,'3-Basis ruimtestaat'!I:I)</f>
        <v>0</v>
      </c>
      <c r="K349" s="66" t="str">
        <f t="shared" si="30"/>
        <v/>
      </c>
      <c r="L349" s="68"/>
      <c r="M349" s="57"/>
      <c r="N349" s="69"/>
      <c r="O349" s="84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</row>
    <row r="350" spans="1:26" ht="17" hidden="1" customHeight="1">
      <c r="A350" s="512">
        <v>21200</v>
      </c>
      <c r="B350" s="72">
        <v>200</v>
      </c>
      <c r="C350" s="115"/>
      <c r="D350" s="63" t="s">
        <v>119</v>
      </c>
      <c r="E350" s="64">
        <f>E352/255*B350</f>
        <v>0</v>
      </c>
      <c r="F350" s="64"/>
      <c r="G350" s="64"/>
      <c r="H350" s="64"/>
      <c r="I350" s="55">
        <f t="shared" si="28"/>
        <v>0</v>
      </c>
      <c r="J350" s="55">
        <f>SUMIF('3-Basis ruimtestaat'!J:J,A350,'3-Basis ruimtestaat'!I:I)</f>
        <v>0</v>
      </c>
      <c r="K350" s="66" t="str">
        <f t="shared" si="30"/>
        <v/>
      </c>
      <c r="L350" s="68"/>
      <c r="M350" s="57"/>
      <c r="N350" s="69"/>
      <c r="O350" s="84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</row>
    <row r="351" spans="1:26" ht="17" hidden="1" customHeight="1">
      <c r="A351" s="512">
        <v>21208</v>
      </c>
      <c r="B351" s="72">
        <v>208</v>
      </c>
      <c r="C351" s="116"/>
      <c r="D351" s="63" t="s">
        <v>139</v>
      </c>
      <c r="E351" s="64">
        <f>E352/255*B351*1.05</f>
        <v>0</v>
      </c>
      <c r="F351" s="64"/>
      <c r="G351" s="64"/>
      <c r="H351" s="64"/>
      <c r="I351" s="55">
        <f t="shared" si="28"/>
        <v>0</v>
      </c>
      <c r="J351" s="55">
        <f>SUMIF('3-Basis ruimtestaat'!J:J,A351,'3-Basis ruimtestaat'!I:I)</f>
        <v>0</v>
      </c>
      <c r="K351" s="66" t="str">
        <f t="shared" si="30"/>
        <v/>
      </c>
      <c r="L351" s="68"/>
      <c r="M351" s="57"/>
      <c r="N351" s="69"/>
      <c r="O351" s="71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</row>
    <row r="352" spans="1:26" ht="17" hidden="1" customHeight="1">
      <c r="A352" s="512">
        <v>21255</v>
      </c>
      <c r="B352" s="72">
        <v>255</v>
      </c>
      <c r="C352" s="116"/>
      <c r="D352" s="63" t="s">
        <v>124</v>
      </c>
      <c r="E352" s="64">
        <f>O352*$O$9</f>
        <v>0</v>
      </c>
      <c r="F352" s="64"/>
      <c r="G352" s="64"/>
      <c r="H352" s="64"/>
      <c r="I352" s="55">
        <f t="shared" si="28"/>
        <v>0</v>
      </c>
      <c r="J352" s="55">
        <f>SUMIF('3-Basis ruimtestaat'!J:J,A352,'3-Basis ruimtestaat'!I:I)</f>
        <v>0</v>
      </c>
      <c r="K352" s="66" t="str">
        <f t="shared" si="30"/>
        <v/>
      </c>
      <c r="L352" s="68"/>
      <c r="M352" s="57"/>
      <c r="N352" s="69"/>
      <c r="O352" s="84">
        <v>0</v>
      </c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</row>
    <row r="353" spans="1:26" ht="17" hidden="1" customHeight="1" thickBot="1">
      <c r="A353" s="512">
        <v>21365</v>
      </c>
      <c r="B353" s="113">
        <v>365</v>
      </c>
      <c r="C353" s="116"/>
      <c r="D353" s="63" t="s">
        <v>129</v>
      </c>
      <c r="E353" s="64">
        <f>E352</f>
        <v>0</v>
      </c>
      <c r="F353" s="64"/>
      <c r="G353" s="64">
        <f>E353/255*104*0.8</f>
        <v>0</v>
      </c>
      <c r="H353" s="64"/>
      <c r="I353" s="55">
        <f t="shared" si="28"/>
        <v>0</v>
      </c>
      <c r="J353" s="55">
        <f>SUMIF('3-Basis ruimtestaat'!J:J,A353,'3-Basis ruimtestaat'!I:I)</f>
        <v>0</v>
      </c>
      <c r="K353" s="66" t="str">
        <f t="shared" si="30"/>
        <v/>
      </c>
      <c r="L353" s="68"/>
      <c r="M353" s="57"/>
      <c r="N353" s="69"/>
      <c r="O353" s="71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</row>
    <row r="354" spans="1:26" ht="17" hidden="1" customHeight="1">
      <c r="A354" s="512">
        <v>22010</v>
      </c>
      <c r="B354" s="62">
        <v>10</v>
      </c>
      <c r="C354" s="116"/>
      <c r="D354" s="63" t="s">
        <v>107</v>
      </c>
      <c r="E354" s="64">
        <f>E366/255*B354*1.5</f>
        <v>0</v>
      </c>
      <c r="F354" s="64"/>
      <c r="G354" s="64"/>
      <c r="H354" s="64"/>
      <c r="I354" s="55">
        <f t="shared" si="28"/>
        <v>0</v>
      </c>
      <c r="J354" s="55">
        <f>SUMIF('3-Basis ruimtestaat'!J:J,A354,'3-Basis ruimtestaat'!I:I)</f>
        <v>0</v>
      </c>
      <c r="K354" s="66" t="str">
        <f t="shared" si="30"/>
        <v/>
      </c>
      <c r="L354" s="68"/>
      <c r="M354" s="57"/>
      <c r="N354" s="69"/>
      <c r="O354" s="71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</row>
    <row r="355" spans="1:26" ht="17" hidden="1" customHeight="1">
      <c r="A355" s="512">
        <v>22012</v>
      </c>
      <c r="B355" s="72">
        <v>12</v>
      </c>
      <c r="C355" s="116"/>
      <c r="D355" s="63" t="s">
        <v>109</v>
      </c>
      <c r="E355" s="64">
        <f>E366/255*B355*1.5</f>
        <v>0</v>
      </c>
      <c r="F355" s="64"/>
      <c r="G355" s="64"/>
      <c r="H355" s="64"/>
      <c r="I355" s="55">
        <f t="shared" si="28"/>
        <v>0</v>
      </c>
      <c r="J355" s="55">
        <f>SUMIF('3-Basis ruimtestaat'!J:J,A355,'3-Basis ruimtestaat'!I:I)</f>
        <v>0</v>
      </c>
      <c r="K355" s="66" t="str">
        <f t="shared" si="30"/>
        <v/>
      </c>
      <c r="L355" s="68"/>
      <c r="M355" s="57"/>
      <c r="N355" s="69"/>
      <c r="O355" s="84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</row>
    <row r="356" spans="1:26" ht="17" hidden="1" customHeight="1">
      <c r="A356" s="512">
        <v>22040</v>
      </c>
      <c r="B356" s="72">
        <v>40</v>
      </c>
      <c r="C356" s="116"/>
      <c r="D356" s="63" t="s">
        <v>137</v>
      </c>
      <c r="E356" s="64">
        <f>E366/255*B356*1.3</f>
        <v>0</v>
      </c>
      <c r="F356" s="64"/>
      <c r="G356" s="64"/>
      <c r="H356" s="64"/>
      <c r="I356" s="55">
        <f t="shared" si="28"/>
        <v>0</v>
      </c>
      <c r="J356" s="55">
        <f>SUMIF('3-Basis ruimtestaat'!J:J,A356,'3-Basis ruimtestaat'!I:I)</f>
        <v>0</v>
      </c>
      <c r="K356" s="66" t="str">
        <f t="shared" si="30"/>
        <v/>
      </c>
      <c r="L356" s="68"/>
      <c r="M356" s="57"/>
      <c r="N356" s="69"/>
      <c r="O356" s="84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</row>
    <row r="357" spans="1:26" ht="17" hidden="1" customHeight="1">
      <c r="A357" s="512">
        <v>22052</v>
      </c>
      <c r="B357" s="72">
        <v>52</v>
      </c>
      <c r="C357" s="116"/>
      <c r="D357" s="63" t="s">
        <v>111</v>
      </c>
      <c r="E357" s="64">
        <f>E366/255*B357*1.4</f>
        <v>0</v>
      </c>
      <c r="F357" s="64"/>
      <c r="G357" s="64"/>
      <c r="H357" s="64"/>
      <c r="I357" s="55">
        <f t="shared" si="28"/>
        <v>0</v>
      </c>
      <c r="J357" s="55">
        <f>SUMIF('3-Basis ruimtestaat'!J:J,A357,'3-Basis ruimtestaat'!I:I)</f>
        <v>0</v>
      </c>
      <c r="K357" s="66" t="str">
        <f t="shared" si="30"/>
        <v/>
      </c>
      <c r="L357" s="68"/>
      <c r="M357" s="57"/>
      <c r="N357" s="69"/>
      <c r="O357" s="84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</row>
    <row r="358" spans="1:26" ht="17" hidden="1" customHeight="1">
      <c r="A358" s="512">
        <v>22080</v>
      </c>
      <c r="B358" s="72">
        <v>80</v>
      </c>
      <c r="C358" s="116"/>
      <c r="D358" s="63" t="s">
        <v>112</v>
      </c>
      <c r="E358" s="64">
        <f>E366/255*B358*1.2</f>
        <v>0</v>
      </c>
      <c r="F358" s="64"/>
      <c r="G358" s="64"/>
      <c r="H358" s="64"/>
      <c r="I358" s="55">
        <f t="shared" si="28"/>
        <v>0</v>
      </c>
      <c r="J358" s="55">
        <f>SUMIF('3-Basis ruimtestaat'!J:J,A358,'3-Basis ruimtestaat'!I:I)</f>
        <v>0</v>
      </c>
      <c r="K358" s="66" t="str">
        <f t="shared" si="30"/>
        <v/>
      </c>
      <c r="L358" s="68"/>
      <c r="M358" s="57"/>
      <c r="N358" s="69"/>
      <c r="O358" s="84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</row>
    <row r="359" spans="1:26" ht="17" hidden="1" customHeight="1">
      <c r="A359" s="512">
        <v>22104</v>
      </c>
      <c r="B359" s="72">
        <v>104</v>
      </c>
      <c r="C359" s="115"/>
      <c r="D359" s="63" t="s">
        <v>113</v>
      </c>
      <c r="E359" s="64">
        <f>E366/255*B359*1.2</f>
        <v>0</v>
      </c>
      <c r="F359" s="117"/>
      <c r="G359" s="117"/>
      <c r="H359" s="64"/>
      <c r="I359" s="55">
        <f t="shared" si="28"/>
        <v>0</v>
      </c>
      <c r="J359" s="55">
        <f>SUMIF('3-Basis ruimtestaat'!J:J,A359,'3-Basis ruimtestaat'!I:I)</f>
        <v>0</v>
      </c>
      <c r="K359" s="66" t="str">
        <f t="shared" ref="K359:K360" si="31">IF(J359=0,"",J359/$J$482)</f>
        <v/>
      </c>
      <c r="L359" s="68"/>
      <c r="M359" s="57"/>
      <c r="N359" s="69"/>
      <c r="O359" s="71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</row>
    <row r="360" spans="1:26" ht="17" hidden="1" customHeight="1">
      <c r="A360" s="512">
        <v>22120</v>
      </c>
      <c r="B360" s="72">
        <v>120</v>
      </c>
      <c r="C360" s="115"/>
      <c r="D360" s="63" t="s">
        <v>114</v>
      </c>
      <c r="E360" s="64">
        <f>E366/255*B360*1.2</f>
        <v>0</v>
      </c>
      <c r="F360" s="117"/>
      <c r="G360" s="117"/>
      <c r="H360" s="64"/>
      <c r="I360" s="55">
        <f t="shared" si="28"/>
        <v>0</v>
      </c>
      <c r="J360" s="55">
        <f>SUMIF('3-Basis ruimtestaat'!J:J,A360,'3-Basis ruimtestaat'!I:I)</f>
        <v>0</v>
      </c>
      <c r="K360" s="66" t="str">
        <f t="shared" si="31"/>
        <v/>
      </c>
      <c r="L360" s="68"/>
      <c r="M360" s="57"/>
      <c r="N360" s="69"/>
      <c r="O360" s="71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</row>
    <row r="361" spans="1:26" ht="17" hidden="1" customHeight="1">
      <c r="A361" s="512">
        <v>22130</v>
      </c>
      <c r="B361" s="72">
        <v>130</v>
      </c>
      <c r="C361" s="115"/>
      <c r="D361" s="63" t="s">
        <v>115</v>
      </c>
      <c r="E361" s="64">
        <f>E366/255*B361*1.1</f>
        <v>0</v>
      </c>
      <c r="F361" s="64"/>
      <c r="G361" s="64"/>
      <c r="H361" s="64"/>
      <c r="I361" s="55">
        <f t="shared" si="28"/>
        <v>0</v>
      </c>
      <c r="J361" s="55">
        <f>SUMIF('3-Basis ruimtestaat'!J:J,A361,'3-Basis ruimtestaat'!I:I)</f>
        <v>0</v>
      </c>
      <c r="K361" s="66" t="str">
        <f t="shared" ref="K361:K424" si="32">IF(J361=0,"",J361/$J$482)</f>
        <v/>
      </c>
      <c r="L361" s="68"/>
      <c r="M361" s="57"/>
      <c r="N361" s="69"/>
      <c r="O361" s="71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</row>
    <row r="362" spans="1:26" ht="17" hidden="1" customHeight="1">
      <c r="A362" s="512">
        <v>22156</v>
      </c>
      <c r="B362" s="72">
        <v>156</v>
      </c>
      <c r="C362" s="115"/>
      <c r="D362" s="63" t="s">
        <v>117</v>
      </c>
      <c r="E362" s="64">
        <f>E366/255*B362*1.1</f>
        <v>0</v>
      </c>
      <c r="F362" s="64"/>
      <c r="G362" s="64"/>
      <c r="H362" s="64"/>
      <c r="I362" s="55">
        <f t="shared" si="28"/>
        <v>0</v>
      </c>
      <c r="J362" s="55">
        <f>SUMIF('3-Basis ruimtestaat'!J:J,A362,'3-Basis ruimtestaat'!I:I)</f>
        <v>0</v>
      </c>
      <c r="K362" s="66" t="str">
        <f t="shared" si="32"/>
        <v/>
      </c>
      <c r="L362" s="68"/>
      <c r="M362" s="57"/>
      <c r="N362" s="69"/>
      <c r="O362" s="71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</row>
    <row r="363" spans="1:26" ht="17" hidden="1" customHeight="1">
      <c r="A363" s="512">
        <v>22160</v>
      </c>
      <c r="B363" s="72">
        <v>160</v>
      </c>
      <c r="C363" s="115"/>
      <c r="D363" s="63" t="s">
        <v>118</v>
      </c>
      <c r="E363" s="64">
        <f>E366/255*B363</f>
        <v>0</v>
      </c>
      <c r="F363" s="64"/>
      <c r="G363" s="64"/>
      <c r="H363" s="64"/>
      <c r="I363" s="55">
        <f t="shared" si="28"/>
        <v>0</v>
      </c>
      <c r="J363" s="55">
        <f>SUMIF('3-Basis ruimtestaat'!J:J,A363,'3-Basis ruimtestaat'!I:I)</f>
        <v>0</v>
      </c>
      <c r="K363" s="66" t="str">
        <f t="shared" si="32"/>
        <v/>
      </c>
      <c r="L363" s="68"/>
      <c r="M363" s="57"/>
      <c r="N363" s="69"/>
      <c r="O363" s="71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</row>
    <row r="364" spans="1:26" ht="17" hidden="1" customHeight="1">
      <c r="A364" s="512">
        <v>22200</v>
      </c>
      <c r="B364" s="72">
        <v>200</v>
      </c>
      <c r="C364" s="115"/>
      <c r="D364" s="63" t="s">
        <v>119</v>
      </c>
      <c r="E364" s="64">
        <f>E366/255*B364</f>
        <v>0</v>
      </c>
      <c r="F364" s="64"/>
      <c r="G364" s="64"/>
      <c r="H364" s="64"/>
      <c r="I364" s="55">
        <f t="shared" si="28"/>
        <v>0</v>
      </c>
      <c r="J364" s="55">
        <f>SUMIF('3-Basis ruimtestaat'!J:J,A364,'3-Basis ruimtestaat'!I:I)</f>
        <v>0</v>
      </c>
      <c r="K364" s="66" t="str">
        <f t="shared" si="32"/>
        <v/>
      </c>
      <c r="L364" s="68"/>
      <c r="M364" s="57"/>
      <c r="N364" s="69"/>
      <c r="O364" s="71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</row>
    <row r="365" spans="1:26" ht="17" hidden="1" customHeight="1">
      <c r="A365" s="512">
        <v>22208</v>
      </c>
      <c r="B365" s="72">
        <v>208</v>
      </c>
      <c r="C365" s="115"/>
      <c r="D365" s="63" t="s">
        <v>139</v>
      </c>
      <c r="E365" s="64">
        <f>E366/255*B365*1.05</f>
        <v>0</v>
      </c>
      <c r="F365" s="64"/>
      <c r="G365" s="64"/>
      <c r="H365" s="64"/>
      <c r="I365" s="55">
        <f t="shared" si="28"/>
        <v>0</v>
      </c>
      <c r="J365" s="55">
        <f>SUMIF('3-Basis ruimtestaat'!J:J,A365,'3-Basis ruimtestaat'!I:I)</f>
        <v>0</v>
      </c>
      <c r="K365" s="66" t="str">
        <f t="shared" si="32"/>
        <v/>
      </c>
      <c r="L365" s="68"/>
      <c r="M365" s="57"/>
      <c r="N365" s="69"/>
      <c r="O365" s="71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</row>
    <row r="366" spans="1:26" ht="17" hidden="1" customHeight="1">
      <c r="A366" s="512">
        <v>22255</v>
      </c>
      <c r="B366" s="72">
        <v>255</v>
      </c>
      <c r="C366" s="115"/>
      <c r="D366" s="63" t="s">
        <v>124</v>
      </c>
      <c r="E366" s="64">
        <f>O366*$O$9</f>
        <v>0</v>
      </c>
      <c r="F366" s="64"/>
      <c r="G366" s="64"/>
      <c r="H366" s="64"/>
      <c r="I366" s="55">
        <f t="shared" si="28"/>
        <v>0</v>
      </c>
      <c r="J366" s="55">
        <f>SUMIF('3-Basis ruimtestaat'!J:J,A366,'3-Basis ruimtestaat'!I:I)</f>
        <v>0</v>
      </c>
      <c r="K366" s="66" t="str">
        <f t="shared" si="32"/>
        <v/>
      </c>
      <c r="L366" s="68"/>
      <c r="M366" s="57"/>
      <c r="N366" s="69"/>
      <c r="O366" s="84">
        <v>0</v>
      </c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</row>
    <row r="367" spans="1:26" ht="17" hidden="1" customHeight="1" thickBot="1">
      <c r="A367" s="512">
        <v>22365</v>
      </c>
      <c r="B367" s="113">
        <v>365</v>
      </c>
      <c r="C367" s="115"/>
      <c r="D367" s="63" t="s">
        <v>129</v>
      </c>
      <c r="E367" s="64">
        <f>E366</f>
        <v>0</v>
      </c>
      <c r="F367" s="64"/>
      <c r="G367" s="64">
        <f>E367/255*104*0.8</f>
        <v>0</v>
      </c>
      <c r="H367" s="64"/>
      <c r="I367" s="55">
        <f t="shared" si="28"/>
        <v>0</v>
      </c>
      <c r="J367" s="55">
        <f>SUMIF('3-Basis ruimtestaat'!J:J,A367,'3-Basis ruimtestaat'!I:I)</f>
        <v>0</v>
      </c>
      <c r="K367" s="66" t="str">
        <f t="shared" si="32"/>
        <v/>
      </c>
      <c r="L367" s="68"/>
      <c r="M367" s="57"/>
      <c r="N367" s="69"/>
      <c r="O367" s="71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</row>
    <row r="368" spans="1:26" ht="17" hidden="1" customHeight="1">
      <c r="A368" s="512">
        <v>23010</v>
      </c>
      <c r="B368" s="62">
        <v>10</v>
      </c>
      <c r="C368" s="115"/>
      <c r="D368" s="63" t="s">
        <v>107</v>
      </c>
      <c r="E368" s="64">
        <f>E380/255*B368*1.5</f>
        <v>0</v>
      </c>
      <c r="F368" s="64"/>
      <c r="G368" s="64"/>
      <c r="H368" s="64"/>
      <c r="I368" s="55">
        <f t="shared" si="28"/>
        <v>0</v>
      </c>
      <c r="J368" s="55">
        <f>SUMIF('3-Basis ruimtestaat'!J:J,A368,'3-Basis ruimtestaat'!I:I)</f>
        <v>0</v>
      </c>
      <c r="K368" s="66" t="str">
        <f t="shared" si="32"/>
        <v/>
      </c>
      <c r="L368" s="68"/>
      <c r="M368" s="57"/>
      <c r="N368" s="69"/>
      <c r="O368" s="71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</row>
    <row r="369" spans="1:26" ht="17" hidden="1" customHeight="1">
      <c r="A369" s="512">
        <v>23012</v>
      </c>
      <c r="B369" s="72">
        <v>12</v>
      </c>
      <c r="C369" s="115"/>
      <c r="D369" s="63" t="s">
        <v>109</v>
      </c>
      <c r="E369" s="64">
        <f>E380/255*B369*1.5</f>
        <v>0</v>
      </c>
      <c r="F369" s="64"/>
      <c r="G369" s="64"/>
      <c r="H369" s="64"/>
      <c r="I369" s="55">
        <f t="shared" si="28"/>
        <v>0</v>
      </c>
      <c r="J369" s="55">
        <f>SUMIF('3-Basis ruimtestaat'!J:J,A369,'3-Basis ruimtestaat'!I:I)</f>
        <v>0</v>
      </c>
      <c r="K369" s="66" t="str">
        <f t="shared" si="32"/>
        <v/>
      </c>
      <c r="L369" s="68"/>
      <c r="M369" s="57"/>
      <c r="N369" s="69"/>
      <c r="O369" s="71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</row>
    <row r="370" spans="1:26" ht="17" hidden="1" customHeight="1">
      <c r="A370" s="512">
        <v>23040</v>
      </c>
      <c r="B370" s="72">
        <v>40</v>
      </c>
      <c r="C370" s="115"/>
      <c r="D370" s="63" t="s">
        <v>137</v>
      </c>
      <c r="E370" s="64">
        <f>E380/255*B370*1.3</f>
        <v>0</v>
      </c>
      <c r="F370" s="64"/>
      <c r="G370" s="64"/>
      <c r="H370" s="64"/>
      <c r="I370" s="55">
        <f t="shared" si="28"/>
        <v>0</v>
      </c>
      <c r="J370" s="55">
        <f>SUMIF('3-Basis ruimtestaat'!J:J,A370,'3-Basis ruimtestaat'!I:I)</f>
        <v>0</v>
      </c>
      <c r="K370" s="66" t="str">
        <f t="shared" si="32"/>
        <v/>
      </c>
      <c r="L370" s="68"/>
      <c r="M370" s="57"/>
      <c r="N370" s="69"/>
      <c r="O370" s="71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</row>
    <row r="371" spans="1:26" ht="17" hidden="1" customHeight="1">
      <c r="A371" s="512">
        <v>23052</v>
      </c>
      <c r="B371" s="72">
        <v>52</v>
      </c>
      <c r="C371" s="115"/>
      <c r="D371" s="63" t="s">
        <v>111</v>
      </c>
      <c r="E371" s="64">
        <f>E380/255*B371*1.4</f>
        <v>0</v>
      </c>
      <c r="F371" s="64"/>
      <c r="G371" s="64"/>
      <c r="H371" s="64"/>
      <c r="I371" s="55">
        <f t="shared" si="28"/>
        <v>0</v>
      </c>
      <c r="J371" s="55">
        <f>SUMIF('3-Basis ruimtestaat'!J:J,A371,'3-Basis ruimtestaat'!I:I)</f>
        <v>0</v>
      </c>
      <c r="K371" s="66" t="str">
        <f t="shared" si="32"/>
        <v/>
      </c>
      <c r="L371" s="68"/>
      <c r="M371" s="57"/>
      <c r="N371" s="69"/>
      <c r="O371" s="71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</row>
    <row r="372" spans="1:26" ht="17" hidden="1" customHeight="1">
      <c r="A372" s="512">
        <v>23080</v>
      </c>
      <c r="B372" s="72">
        <v>80</v>
      </c>
      <c r="C372" s="115"/>
      <c r="D372" s="63" t="s">
        <v>112</v>
      </c>
      <c r="E372" s="64">
        <f>E380/255*B372*1.2</f>
        <v>0</v>
      </c>
      <c r="F372" s="64"/>
      <c r="G372" s="64"/>
      <c r="H372" s="64"/>
      <c r="I372" s="55">
        <f t="shared" si="28"/>
        <v>0</v>
      </c>
      <c r="J372" s="55">
        <f>SUMIF('3-Basis ruimtestaat'!J:J,A372,'3-Basis ruimtestaat'!I:I)</f>
        <v>0</v>
      </c>
      <c r="K372" s="66" t="str">
        <f t="shared" si="32"/>
        <v/>
      </c>
      <c r="L372" s="68"/>
      <c r="M372" s="57"/>
      <c r="N372" s="69"/>
      <c r="O372" s="71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</row>
    <row r="373" spans="1:26" ht="17" hidden="1" customHeight="1">
      <c r="A373" s="512">
        <v>23104</v>
      </c>
      <c r="B373" s="72">
        <v>104</v>
      </c>
      <c r="C373" s="115"/>
      <c r="D373" s="63" t="s">
        <v>113</v>
      </c>
      <c r="E373" s="64">
        <f>E380/255*B373*1.2</f>
        <v>0</v>
      </c>
      <c r="F373" s="64"/>
      <c r="G373" s="64"/>
      <c r="H373" s="64"/>
      <c r="I373" s="55">
        <f t="shared" si="28"/>
        <v>0</v>
      </c>
      <c r="J373" s="55">
        <f>SUMIF('3-Basis ruimtestaat'!J:J,A373,'3-Basis ruimtestaat'!I:I)</f>
        <v>0</v>
      </c>
      <c r="K373" s="66" t="str">
        <f t="shared" si="32"/>
        <v/>
      </c>
      <c r="L373" s="68"/>
      <c r="M373" s="57"/>
      <c r="N373" s="69"/>
      <c r="O373" s="71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</row>
    <row r="374" spans="1:26" ht="17" hidden="1" customHeight="1">
      <c r="A374" s="512">
        <v>23120</v>
      </c>
      <c r="B374" s="72">
        <v>120</v>
      </c>
      <c r="C374" s="115"/>
      <c r="D374" s="63" t="s">
        <v>114</v>
      </c>
      <c r="E374" s="64">
        <f>E380/255*B374*1.2</f>
        <v>0</v>
      </c>
      <c r="F374" s="64"/>
      <c r="G374" s="64"/>
      <c r="H374" s="64"/>
      <c r="I374" s="55">
        <f t="shared" si="28"/>
        <v>0</v>
      </c>
      <c r="J374" s="55">
        <f>SUMIF('3-Basis ruimtestaat'!J:J,A374,'3-Basis ruimtestaat'!I:I)</f>
        <v>0</v>
      </c>
      <c r="K374" s="66" t="str">
        <f t="shared" si="32"/>
        <v/>
      </c>
      <c r="L374" s="68"/>
      <c r="M374" s="57"/>
      <c r="N374" s="69"/>
      <c r="O374" s="71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</row>
    <row r="375" spans="1:26" ht="17" hidden="1" customHeight="1">
      <c r="A375" s="512">
        <v>23130</v>
      </c>
      <c r="B375" s="72">
        <v>130</v>
      </c>
      <c r="C375" s="115"/>
      <c r="D375" s="63" t="s">
        <v>115</v>
      </c>
      <c r="E375" s="64">
        <f>E380/255*B375*1.1</f>
        <v>0</v>
      </c>
      <c r="F375" s="64"/>
      <c r="G375" s="64"/>
      <c r="H375" s="64"/>
      <c r="I375" s="55">
        <f t="shared" si="28"/>
        <v>0</v>
      </c>
      <c r="J375" s="55">
        <f>SUMIF('3-Basis ruimtestaat'!J:J,A375,'3-Basis ruimtestaat'!I:I)</f>
        <v>0</v>
      </c>
      <c r="K375" s="66" t="str">
        <f t="shared" si="32"/>
        <v/>
      </c>
      <c r="L375" s="68"/>
      <c r="M375" s="57"/>
      <c r="N375" s="69"/>
      <c r="O375" s="84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</row>
    <row r="376" spans="1:26" ht="17" hidden="1" customHeight="1">
      <c r="A376" s="512">
        <v>23156</v>
      </c>
      <c r="B376" s="72">
        <v>156</v>
      </c>
      <c r="C376" s="115"/>
      <c r="D376" s="63" t="s">
        <v>117</v>
      </c>
      <c r="E376" s="64">
        <f>E380/255*B376*1.1</f>
        <v>0</v>
      </c>
      <c r="F376" s="64"/>
      <c r="G376" s="64"/>
      <c r="H376" s="64"/>
      <c r="I376" s="55">
        <f t="shared" si="28"/>
        <v>0</v>
      </c>
      <c r="J376" s="55">
        <f>SUMIF('3-Basis ruimtestaat'!J:J,A376,'3-Basis ruimtestaat'!I:I)</f>
        <v>0</v>
      </c>
      <c r="K376" s="66" t="str">
        <f t="shared" si="32"/>
        <v/>
      </c>
      <c r="L376" s="68"/>
      <c r="M376" s="57"/>
      <c r="N376" s="69"/>
      <c r="O376" s="71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</row>
    <row r="377" spans="1:26" ht="17" hidden="1" customHeight="1">
      <c r="A377" s="512">
        <v>23160</v>
      </c>
      <c r="B377" s="72">
        <v>160</v>
      </c>
      <c r="C377" s="116"/>
      <c r="D377" s="63" t="s">
        <v>118</v>
      </c>
      <c r="E377" s="64">
        <f>E380/255*B377</f>
        <v>0</v>
      </c>
      <c r="F377" s="64"/>
      <c r="G377" s="64"/>
      <c r="H377" s="64"/>
      <c r="I377" s="55">
        <f t="shared" si="28"/>
        <v>0</v>
      </c>
      <c r="J377" s="55">
        <f>SUMIF('3-Basis ruimtestaat'!J:J,A377,'3-Basis ruimtestaat'!I:I)</f>
        <v>0</v>
      </c>
      <c r="K377" s="66" t="str">
        <f t="shared" si="32"/>
        <v/>
      </c>
      <c r="L377" s="68"/>
      <c r="M377" s="57"/>
      <c r="N377" s="69"/>
      <c r="O377" s="71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</row>
    <row r="378" spans="1:26" ht="17" hidden="1" customHeight="1">
      <c r="A378" s="512">
        <v>23200</v>
      </c>
      <c r="B378" s="72">
        <v>200</v>
      </c>
      <c r="C378" s="116"/>
      <c r="D378" s="63" t="s">
        <v>119</v>
      </c>
      <c r="E378" s="64">
        <f>E380/255*B378</f>
        <v>0</v>
      </c>
      <c r="F378" s="64"/>
      <c r="G378" s="64"/>
      <c r="H378" s="64"/>
      <c r="I378" s="55">
        <f t="shared" si="28"/>
        <v>0</v>
      </c>
      <c r="J378" s="55">
        <f>SUMIF('3-Basis ruimtestaat'!J:J,A378,'3-Basis ruimtestaat'!I:I)</f>
        <v>0</v>
      </c>
      <c r="K378" s="66" t="str">
        <f t="shared" si="32"/>
        <v/>
      </c>
      <c r="L378" s="68"/>
      <c r="M378" s="57"/>
      <c r="N378" s="69"/>
      <c r="O378" s="71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</row>
    <row r="379" spans="1:26" ht="17" hidden="1" customHeight="1">
      <c r="A379" s="512">
        <v>23208</v>
      </c>
      <c r="B379" s="72">
        <v>208</v>
      </c>
      <c r="C379" s="116"/>
      <c r="D379" s="63" t="s">
        <v>139</v>
      </c>
      <c r="E379" s="64">
        <f>E380/255*B379*1.05</f>
        <v>0</v>
      </c>
      <c r="F379" s="64"/>
      <c r="G379" s="64"/>
      <c r="H379" s="64"/>
      <c r="I379" s="55">
        <f t="shared" si="28"/>
        <v>0</v>
      </c>
      <c r="J379" s="55">
        <f>SUMIF('3-Basis ruimtestaat'!J:J,A379,'3-Basis ruimtestaat'!I:I)</f>
        <v>0</v>
      </c>
      <c r="K379" s="66" t="str">
        <f t="shared" si="32"/>
        <v/>
      </c>
      <c r="L379" s="68"/>
      <c r="M379" s="57"/>
      <c r="N379" s="69"/>
      <c r="O379" s="71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</row>
    <row r="380" spans="1:26" ht="17" hidden="1" customHeight="1">
      <c r="A380" s="512">
        <v>23255</v>
      </c>
      <c r="B380" s="72">
        <v>255</v>
      </c>
      <c r="C380" s="116"/>
      <c r="D380" s="63" t="s">
        <v>124</v>
      </c>
      <c r="E380" s="64">
        <f>O380*$O$9</f>
        <v>0</v>
      </c>
      <c r="F380" s="64"/>
      <c r="G380" s="64"/>
      <c r="H380" s="64"/>
      <c r="I380" s="55">
        <f t="shared" si="28"/>
        <v>0</v>
      </c>
      <c r="J380" s="55">
        <f>SUMIF('3-Basis ruimtestaat'!J:J,A380,'3-Basis ruimtestaat'!I:I)</f>
        <v>0</v>
      </c>
      <c r="K380" s="66" t="str">
        <f t="shared" si="32"/>
        <v/>
      </c>
      <c r="L380" s="68"/>
      <c r="M380" s="57"/>
      <c r="N380" s="69"/>
      <c r="O380" s="84">
        <v>0</v>
      </c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</row>
    <row r="381" spans="1:26" ht="17" hidden="1" customHeight="1" thickBot="1">
      <c r="A381" s="512">
        <v>23365</v>
      </c>
      <c r="B381" s="113">
        <v>365</v>
      </c>
      <c r="C381" s="116"/>
      <c r="D381" s="63" t="s">
        <v>129</v>
      </c>
      <c r="E381" s="64">
        <f>E380</f>
        <v>0</v>
      </c>
      <c r="F381" s="64"/>
      <c r="G381" s="64">
        <f>E381/255*104*0.8</f>
        <v>0</v>
      </c>
      <c r="H381" s="64"/>
      <c r="I381" s="55">
        <f t="shared" si="28"/>
        <v>0</v>
      </c>
      <c r="J381" s="55">
        <f>SUMIF('3-Basis ruimtestaat'!J:J,A381,'3-Basis ruimtestaat'!I:I)</f>
        <v>0</v>
      </c>
      <c r="K381" s="66" t="str">
        <f t="shared" si="32"/>
        <v/>
      </c>
      <c r="L381" s="68"/>
      <c r="M381" s="57"/>
      <c r="N381" s="69"/>
      <c r="O381" s="84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</row>
    <row r="382" spans="1:26" ht="17" hidden="1" customHeight="1">
      <c r="A382" s="512">
        <v>24010</v>
      </c>
      <c r="B382" s="62">
        <v>10</v>
      </c>
      <c r="C382" s="116"/>
      <c r="D382" s="63" t="s">
        <v>107</v>
      </c>
      <c r="E382" s="64">
        <f>E394/255*B382*1.5</f>
        <v>0</v>
      </c>
      <c r="F382" s="64"/>
      <c r="G382" s="64"/>
      <c r="H382" s="64"/>
      <c r="I382" s="55">
        <f t="shared" si="28"/>
        <v>0</v>
      </c>
      <c r="J382" s="55">
        <f>SUMIF('3-Basis ruimtestaat'!J:J,A382,'3-Basis ruimtestaat'!I:I)</f>
        <v>0</v>
      </c>
      <c r="K382" s="66" t="str">
        <f t="shared" si="32"/>
        <v/>
      </c>
      <c r="L382" s="68"/>
      <c r="M382" s="57"/>
      <c r="N382" s="69"/>
      <c r="O382" s="84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</row>
    <row r="383" spans="1:26" ht="17" hidden="1" customHeight="1">
      <c r="A383" s="512">
        <v>24012</v>
      </c>
      <c r="B383" s="72">
        <v>12</v>
      </c>
      <c r="C383" s="115"/>
      <c r="D383" s="63" t="s">
        <v>109</v>
      </c>
      <c r="E383" s="64">
        <f>E394/255*B383*1.5</f>
        <v>0</v>
      </c>
      <c r="F383" s="64"/>
      <c r="G383" s="64"/>
      <c r="H383" s="64"/>
      <c r="I383" s="55">
        <f t="shared" si="28"/>
        <v>0</v>
      </c>
      <c r="J383" s="55">
        <f>SUMIF('3-Basis ruimtestaat'!J:J,A383,'3-Basis ruimtestaat'!I:I)</f>
        <v>0</v>
      </c>
      <c r="K383" s="66" t="str">
        <f t="shared" si="32"/>
        <v/>
      </c>
      <c r="L383" s="68"/>
      <c r="M383" s="57"/>
      <c r="N383" s="69"/>
      <c r="O383" s="71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</row>
    <row r="384" spans="1:26" ht="17" hidden="1" customHeight="1">
      <c r="A384" s="512">
        <v>24040</v>
      </c>
      <c r="B384" s="72">
        <v>40</v>
      </c>
      <c r="C384" s="115"/>
      <c r="D384" s="63" t="s">
        <v>137</v>
      </c>
      <c r="E384" s="64">
        <f>E394/255*B384*1.3</f>
        <v>0</v>
      </c>
      <c r="F384" s="64"/>
      <c r="G384" s="64"/>
      <c r="H384" s="64"/>
      <c r="I384" s="55">
        <f t="shared" si="28"/>
        <v>0</v>
      </c>
      <c r="J384" s="55">
        <f>SUMIF('3-Basis ruimtestaat'!J:J,A384,'3-Basis ruimtestaat'!I:I)</f>
        <v>0</v>
      </c>
      <c r="K384" s="66" t="str">
        <f t="shared" si="32"/>
        <v/>
      </c>
      <c r="L384" s="68"/>
      <c r="M384" s="57"/>
      <c r="N384" s="69"/>
      <c r="O384" s="84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</row>
    <row r="385" spans="1:26" ht="17" hidden="1" customHeight="1">
      <c r="A385" s="512">
        <v>24052</v>
      </c>
      <c r="B385" s="72">
        <v>52</v>
      </c>
      <c r="C385" s="116"/>
      <c r="D385" s="63" t="s">
        <v>111</v>
      </c>
      <c r="E385" s="64">
        <f>E394/255*B385*1.4</f>
        <v>0</v>
      </c>
      <c r="F385" s="64"/>
      <c r="G385" s="64"/>
      <c r="H385" s="64"/>
      <c r="I385" s="55">
        <f t="shared" si="28"/>
        <v>0</v>
      </c>
      <c r="J385" s="55">
        <f>SUMIF('3-Basis ruimtestaat'!J:J,A385,'3-Basis ruimtestaat'!I:I)</f>
        <v>0</v>
      </c>
      <c r="K385" s="66" t="str">
        <f t="shared" si="32"/>
        <v/>
      </c>
      <c r="L385" s="68"/>
      <c r="M385" s="57"/>
      <c r="N385" s="69"/>
      <c r="O385" s="71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</row>
    <row r="386" spans="1:26" ht="17" hidden="1" customHeight="1">
      <c r="A386" s="512">
        <v>24080</v>
      </c>
      <c r="B386" s="72">
        <v>80</v>
      </c>
      <c r="C386" s="116"/>
      <c r="D386" s="63" t="s">
        <v>112</v>
      </c>
      <c r="E386" s="64">
        <f>E394/255*B386*1.2</f>
        <v>0</v>
      </c>
      <c r="F386" s="64"/>
      <c r="G386" s="64"/>
      <c r="H386" s="64"/>
      <c r="I386" s="55">
        <f t="shared" si="28"/>
        <v>0</v>
      </c>
      <c r="J386" s="55">
        <f>SUMIF('3-Basis ruimtestaat'!J:J,A386,'3-Basis ruimtestaat'!I:I)</f>
        <v>0</v>
      </c>
      <c r="K386" s="66" t="str">
        <f t="shared" si="32"/>
        <v/>
      </c>
      <c r="L386" s="68"/>
      <c r="M386" s="57"/>
      <c r="N386" s="69"/>
      <c r="O386" s="84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</row>
    <row r="387" spans="1:26" ht="17" hidden="1" customHeight="1">
      <c r="A387" s="512">
        <v>24104</v>
      </c>
      <c r="B387" s="72">
        <v>104</v>
      </c>
      <c r="C387" s="115"/>
      <c r="D387" s="63" t="s">
        <v>113</v>
      </c>
      <c r="E387" s="64">
        <f>E394/255*B387*1.2</f>
        <v>0</v>
      </c>
      <c r="F387" s="64"/>
      <c r="G387" s="64"/>
      <c r="H387" s="64"/>
      <c r="I387" s="55">
        <f t="shared" si="28"/>
        <v>0</v>
      </c>
      <c r="J387" s="55">
        <f>SUMIF('3-Basis ruimtestaat'!J:J,A387,'3-Basis ruimtestaat'!I:I)</f>
        <v>0</v>
      </c>
      <c r="K387" s="66" t="str">
        <f t="shared" si="32"/>
        <v/>
      </c>
      <c r="L387" s="68"/>
      <c r="M387" s="57"/>
      <c r="N387" s="69"/>
      <c r="O387" s="71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</row>
    <row r="388" spans="1:26" ht="17" hidden="1" customHeight="1">
      <c r="A388" s="512">
        <v>24120</v>
      </c>
      <c r="B388" s="72">
        <v>120</v>
      </c>
      <c r="C388" s="115"/>
      <c r="D388" s="63" t="s">
        <v>114</v>
      </c>
      <c r="E388" s="64">
        <f>E394/255*B388*1.2</f>
        <v>0</v>
      </c>
      <c r="F388" s="64"/>
      <c r="G388" s="64"/>
      <c r="H388" s="64"/>
      <c r="I388" s="55">
        <f t="shared" si="28"/>
        <v>0</v>
      </c>
      <c r="J388" s="55">
        <f>SUMIF('3-Basis ruimtestaat'!J:J,A388,'3-Basis ruimtestaat'!I:I)</f>
        <v>0</v>
      </c>
      <c r="K388" s="66" t="str">
        <f t="shared" si="32"/>
        <v/>
      </c>
      <c r="L388" s="68"/>
      <c r="M388" s="57"/>
      <c r="N388" s="69"/>
      <c r="O388" s="71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</row>
    <row r="389" spans="1:26" ht="17" hidden="1" customHeight="1">
      <c r="A389" s="512">
        <v>24130</v>
      </c>
      <c r="B389" s="72">
        <v>130</v>
      </c>
      <c r="C389" s="115"/>
      <c r="D389" s="63" t="s">
        <v>115</v>
      </c>
      <c r="E389" s="64">
        <f>E394/255*B389*1.1</f>
        <v>0</v>
      </c>
      <c r="F389" s="64"/>
      <c r="G389" s="64"/>
      <c r="H389" s="64"/>
      <c r="I389" s="55">
        <f t="shared" si="28"/>
        <v>0</v>
      </c>
      <c r="J389" s="55">
        <f>SUMIF('3-Basis ruimtestaat'!J:J,A389,'3-Basis ruimtestaat'!I:I)</f>
        <v>0</v>
      </c>
      <c r="K389" s="66" t="str">
        <f t="shared" si="32"/>
        <v/>
      </c>
      <c r="L389" s="68"/>
      <c r="M389" s="57"/>
      <c r="N389" s="69"/>
      <c r="O389" s="84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</row>
    <row r="390" spans="1:26" ht="17" hidden="1" customHeight="1">
      <c r="A390" s="512">
        <v>24156</v>
      </c>
      <c r="B390" s="72">
        <v>156</v>
      </c>
      <c r="C390" s="116"/>
      <c r="D390" s="63" t="s">
        <v>117</v>
      </c>
      <c r="E390" s="64">
        <f>E394/255*B390*1.1</f>
        <v>0</v>
      </c>
      <c r="F390" s="64"/>
      <c r="G390" s="64"/>
      <c r="H390" s="64"/>
      <c r="I390" s="55">
        <f t="shared" si="28"/>
        <v>0</v>
      </c>
      <c r="J390" s="55">
        <f>SUMIF('3-Basis ruimtestaat'!J:J,A390,'3-Basis ruimtestaat'!I:I)</f>
        <v>0</v>
      </c>
      <c r="K390" s="66" t="str">
        <f t="shared" si="32"/>
        <v/>
      </c>
      <c r="L390" s="68"/>
      <c r="M390" s="57"/>
      <c r="N390" s="69"/>
      <c r="O390" s="71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</row>
    <row r="391" spans="1:26" ht="17" hidden="1" customHeight="1">
      <c r="A391" s="512">
        <v>24160</v>
      </c>
      <c r="B391" s="72">
        <v>160</v>
      </c>
      <c r="C391" s="116"/>
      <c r="D391" s="63" t="s">
        <v>118</v>
      </c>
      <c r="E391" s="64">
        <f>E394/255*B391</f>
        <v>0</v>
      </c>
      <c r="F391" s="64"/>
      <c r="G391" s="64"/>
      <c r="H391" s="64"/>
      <c r="I391" s="55">
        <f t="shared" si="28"/>
        <v>0</v>
      </c>
      <c r="J391" s="55">
        <f>SUMIF('3-Basis ruimtestaat'!J:J,A391,'3-Basis ruimtestaat'!I:I)</f>
        <v>0</v>
      </c>
      <c r="K391" s="66" t="str">
        <f t="shared" si="32"/>
        <v/>
      </c>
      <c r="L391" s="68"/>
      <c r="M391" s="57"/>
      <c r="N391" s="69"/>
      <c r="O391" s="71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</row>
    <row r="392" spans="1:26" ht="17" hidden="1" customHeight="1">
      <c r="A392" s="512">
        <v>24200</v>
      </c>
      <c r="B392" s="72">
        <v>200</v>
      </c>
      <c r="C392" s="116"/>
      <c r="D392" s="63" t="s">
        <v>119</v>
      </c>
      <c r="E392" s="64">
        <f>E394/255*B392</f>
        <v>0</v>
      </c>
      <c r="F392" s="64"/>
      <c r="G392" s="64"/>
      <c r="H392" s="64"/>
      <c r="I392" s="55">
        <f t="shared" si="28"/>
        <v>0</v>
      </c>
      <c r="J392" s="55">
        <f>SUMIF('3-Basis ruimtestaat'!J:J,A392,'3-Basis ruimtestaat'!I:I)</f>
        <v>0</v>
      </c>
      <c r="K392" s="66" t="str">
        <f t="shared" si="32"/>
        <v/>
      </c>
      <c r="L392" s="68"/>
      <c r="M392" s="57"/>
      <c r="N392" s="69"/>
      <c r="O392" s="71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</row>
    <row r="393" spans="1:26" ht="17" hidden="1" customHeight="1">
      <c r="A393" s="512">
        <v>24208</v>
      </c>
      <c r="B393" s="72">
        <v>208</v>
      </c>
      <c r="C393" s="116"/>
      <c r="D393" s="63" t="s">
        <v>139</v>
      </c>
      <c r="E393" s="64">
        <f>E394/255*B393*1.05</f>
        <v>0</v>
      </c>
      <c r="F393" s="64"/>
      <c r="G393" s="64"/>
      <c r="H393" s="64"/>
      <c r="I393" s="55">
        <f t="shared" si="28"/>
        <v>0</v>
      </c>
      <c r="J393" s="55">
        <f>SUMIF('3-Basis ruimtestaat'!J:J,A393,'3-Basis ruimtestaat'!I:I)</f>
        <v>0</v>
      </c>
      <c r="K393" s="66" t="str">
        <f t="shared" si="32"/>
        <v/>
      </c>
      <c r="L393" s="68"/>
      <c r="M393" s="57"/>
      <c r="N393" s="69"/>
      <c r="O393" s="71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</row>
    <row r="394" spans="1:26" ht="17" hidden="1" customHeight="1">
      <c r="A394" s="512">
        <v>24255</v>
      </c>
      <c r="B394" s="72">
        <v>255</v>
      </c>
      <c r="C394" s="116"/>
      <c r="D394" s="63" t="s">
        <v>124</v>
      </c>
      <c r="E394" s="64">
        <f>O394*$O$9</f>
        <v>0</v>
      </c>
      <c r="F394" s="64"/>
      <c r="G394" s="64"/>
      <c r="H394" s="64"/>
      <c r="I394" s="55">
        <f t="shared" si="28"/>
        <v>0</v>
      </c>
      <c r="J394" s="55">
        <f>SUMIF('3-Basis ruimtestaat'!J:J,A394,'3-Basis ruimtestaat'!I:I)</f>
        <v>0</v>
      </c>
      <c r="K394" s="66" t="str">
        <f t="shared" si="32"/>
        <v/>
      </c>
      <c r="L394" s="68"/>
      <c r="M394" s="57"/>
      <c r="N394" s="69"/>
      <c r="O394" s="84">
        <v>0</v>
      </c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 spans="1:26" ht="17" hidden="1" customHeight="1" thickBot="1">
      <c r="A395" s="512">
        <v>24365</v>
      </c>
      <c r="B395" s="113">
        <v>365</v>
      </c>
      <c r="C395" s="116"/>
      <c r="D395" s="63" t="s">
        <v>129</v>
      </c>
      <c r="E395" s="64">
        <f>E394</f>
        <v>0</v>
      </c>
      <c r="F395" s="64"/>
      <c r="G395" s="64">
        <f>E395/255*104*0.8</f>
        <v>0</v>
      </c>
      <c r="H395" s="64"/>
      <c r="I395" s="55">
        <f t="shared" si="28"/>
        <v>0</v>
      </c>
      <c r="J395" s="55">
        <f>SUMIF('3-Basis ruimtestaat'!J:J,A395,'3-Basis ruimtestaat'!I:I)</f>
        <v>0</v>
      </c>
      <c r="K395" s="66" t="str">
        <f t="shared" si="32"/>
        <v/>
      </c>
      <c r="L395" s="68"/>
      <c r="M395" s="57"/>
      <c r="N395" s="69"/>
      <c r="O395" s="84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</row>
    <row r="396" spans="1:26" ht="17" hidden="1" customHeight="1">
      <c r="A396" s="512">
        <v>25010</v>
      </c>
      <c r="B396" s="62">
        <v>10</v>
      </c>
      <c r="C396" s="116"/>
      <c r="D396" s="63" t="s">
        <v>107</v>
      </c>
      <c r="E396" s="64">
        <f>E408/255*B396*1.5</f>
        <v>0</v>
      </c>
      <c r="F396" s="64"/>
      <c r="G396" s="64"/>
      <c r="H396" s="64"/>
      <c r="I396" s="55">
        <f t="shared" si="28"/>
        <v>0</v>
      </c>
      <c r="J396" s="55">
        <f>SUMIF('3-Basis ruimtestaat'!J:J,A396,'3-Basis ruimtestaat'!I:I)</f>
        <v>0</v>
      </c>
      <c r="K396" s="66" t="str">
        <f t="shared" si="32"/>
        <v/>
      </c>
      <c r="L396" s="68"/>
      <c r="M396" s="57"/>
      <c r="N396" s="69"/>
      <c r="O396" s="84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</row>
    <row r="397" spans="1:26" ht="17" hidden="1" customHeight="1">
      <c r="A397" s="512">
        <v>25012</v>
      </c>
      <c r="B397" s="72">
        <v>12</v>
      </c>
      <c r="C397" s="115"/>
      <c r="D397" s="63" t="s">
        <v>109</v>
      </c>
      <c r="E397" s="64">
        <f>E408/255*B397*1.5</f>
        <v>0</v>
      </c>
      <c r="F397" s="64"/>
      <c r="G397" s="64"/>
      <c r="H397" s="64"/>
      <c r="I397" s="55">
        <f t="shared" si="28"/>
        <v>0</v>
      </c>
      <c r="J397" s="55">
        <f>SUMIF('3-Basis ruimtestaat'!J:J,A397,'3-Basis ruimtestaat'!I:I)</f>
        <v>0</v>
      </c>
      <c r="K397" s="66" t="str">
        <f t="shared" si="32"/>
        <v/>
      </c>
      <c r="L397" s="68"/>
      <c r="M397" s="57"/>
      <c r="N397" s="69"/>
      <c r="O397" s="71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</row>
    <row r="398" spans="1:26" ht="17" hidden="1" customHeight="1">
      <c r="A398" s="512">
        <v>25040</v>
      </c>
      <c r="B398" s="72">
        <v>40</v>
      </c>
      <c r="C398" s="115"/>
      <c r="D398" s="63" t="s">
        <v>137</v>
      </c>
      <c r="E398" s="64">
        <f>E408/255*B398*1.3</f>
        <v>0</v>
      </c>
      <c r="F398" s="64"/>
      <c r="G398" s="64"/>
      <c r="H398" s="64"/>
      <c r="I398" s="55">
        <f t="shared" si="28"/>
        <v>0</v>
      </c>
      <c r="J398" s="55">
        <f>SUMIF('3-Basis ruimtestaat'!J:J,A398,'3-Basis ruimtestaat'!I:I)</f>
        <v>0</v>
      </c>
      <c r="K398" s="66" t="str">
        <f t="shared" si="32"/>
        <v/>
      </c>
      <c r="L398" s="68"/>
      <c r="M398" s="57"/>
      <c r="N398" s="69"/>
      <c r="O398" s="84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</row>
    <row r="399" spans="1:26" ht="17" hidden="1" customHeight="1">
      <c r="A399" s="512">
        <v>25052</v>
      </c>
      <c r="B399" s="72">
        <v>52</v>
      </c>
      <c r="C399" s="115"/>
      <c r="D399" s="63" t="s">
        <v>111</v>
      </c>
      <c r="E399" s="64">
        <f>E408/255*B399*1.4</f>
        <v>0</v>
      </c>
      <c r="F399" s="64"/>
      <c r="G399" s="64"/>
      <c r="H399" s="64"/>
      <c r="I399" s="55">
        <f t="shared" si="28"/>
        <v>0</v>
      </c>
      <c r="J399" s="55">
        <f>SUMIF('3-Basis ruimtestaat'!J:J,A399,'3-Basis ruimtestaat'!I:I)</f>
        <v>0</v>
      </c>
      <c r="K399" s="66" t="str">
        <f t="shared" si="32"/>
        <v/>
      </c>
      <c r="L399" s="68"/>
      <c r="M399" s="57"/>
      <c r="N399" s="69"/>
      <c r="O399" s="84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</row>
    <row r="400" spans="1:26" ht="17" hidden="1" customHeight="1">
      <c r="A400" s="512">
        <v>25080</v>
      </c>
      <c r="B400" s="72">
        <v>80</v>
      </c>
      <c r="C400" s="116"/>
      <c r="D400" s="63" t="s">
        <v>112</v>
      </c>
      <c r="E400" s="64">
        <f>E408/255*B400*1.2</f>
        <v>0</v>
      </c>
      <c r="F400" s="64"/>
      <c r="G400" s="64"/>
      <c r="H400" s="64"/>
      <c r="I400" s="55">
        <f t="shared" si="28"/>
        <v>0</v>
      </c>
      <c r="J400" s="55">
        <f>SUMIF('3-Basis ruimtestaat'!J:J,A400,'3-Basis ruimtestaat'!I:I)</f>
        <v>0</v>
      </c>
      <c r="K400" s="66" t="str">
        <f t="shared" si="32"/>
        <v/>
      </c>
      <c r="L400" s="68"/>
      <c r="M400" s="57"/>
      <c r="N400" s="69"/>
      <c r="O400" s="71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</row>
    <row r="401" spans="1:26" ht="17" hidden="1" customHeight="1">
      <c r="A401" s="512">
        <v>25104</v>
      </c>
      <c r="B401" s="72">
        <v>104</v>
      </c>
      <c r="C401" s="116"/>
      <c r="D401" s="63" t="s">
        <v>113</v>
      </c>
      <c r="E401" s="64">
        <f>E408/255*B401*1.2</f>
        <v>0</v>
      </c>
      <c r="F401" s="64"/>
      <c r="G401" s="64"/>
      <c r="H401" s="64"/>
      <c r="I401" s="55">
        <f t="shared" si="28"/>
        <v>0</v>
      </c>
      <c r="J401" s="55">
        <f>SUMIF('3-Basis ruimtestaat'!J:J,A401,'3-Basis ruimtestaat'!I:I)</f>
        <v>0</v>
      </c>
      <c r="K401" s="66" t="str">
        <f t="shared" si="32"/>
        <v/>
      </c>
      <c r="L401" s="68"/>
      <c r="M401" s="57"/>
      <c r="N401" s="69"/>
      <c r="O401" s="71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</row>
    <row r="402" spans="1:26" ht="17" hidden="1" customHeight="1">
      <c r="A402" s="512">
        <v>25120</v>
      </c>
      <c r="B402" s="72">
        <v>120</v>
      </c>
      <c r="C402" s="116"/>
      <c r="D402" s="63" t="s">
        <v>114</v>
      </c>
      <c r="E402" s="64">
        <f>E408/255*B402*1.2</f>
        <v>0</v>
      </c>
      <c r="F402" s="64"/>
      <c r="G402" s="64"/>
      <c r="H402" s="64"/>
      <c r="I402" s="55">
        <f t="shared" si="28"/>
        <v>0</v>
      </c>
      <c r="J402" s="55">
        <f>SUMIF('3-Basis ruimtestaat'!J:J,A402,'3-Basis ruimtestaat'!I:I)</f>
        <v>0</v>
      </c>
      <c r="K402" s="66" t="str">
        <f t="shared" si="32"/>
        <v/>
      </c>
      <c r="L402" s="68"/>
      <c r="M402" s="57"/>
      <c r="N402" s="69"/>
      <c r="O402" s="71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</row>
    <row r="403" spans="1:26" ht="17" hidden="1" customHeight="1">
      <c r="A403" s="512">
        <v>25130</v>
      </c>
      <c r="B403" s="72">
        <v>130</v>
      </c>
      <c r="C403" s="116"/>
      <c r="D403" s="63" t="s">
        <v>115</v>
      </c>
      <c r="E403" s="64">
        <f>E408/255*B403*1.1</f>
        <v>0</v>
      </c>
      <c r="F403" s="64"/>
      <c r="G403" s="64"/>
      <c r="H403" s="64"/>
      <c r="I403" s="55">
        <f t="shared" si="28"/>
        <v>0</v>
      </c>
      <c r="J403" s="55">
        <f>SUMIF('3-Basis ruimtestaat'!J:J,A403,'3-Basis ruimtestaat'!I:I)</f>
        <v>0</v>
      </c>
      <c r="K403" s="66" t="str">
        <f t="shared" si="32"/>
        <v/>
      </c>
      <c r="L403" s="68"/>
      <c r="M403" s="57"/>
      <c r="N403" s="69"/>
      <c r="O403" s="71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</row>
    <row r="404" spans="1:26" ht="17" hidden="1" customHeight="1">
      <c r="A404" s="512">
        <v>25156</v>
      </c>
      <c r="B404" s="72">
        <v>156</v>
      </c>
      <c r="C404" s="116"/>
      <c r="D404" s="63" t="s">
        <v>117</v>
      </c>
      <c r="E404" s="64">
        <f>E408/255*B404*1.1</f>
        <v>0</v>
      </c>
      <c r="F404" s="64"/>
      <c r="G404" s="64"/>
      <c r="H404" s="64"/>
      <c r="I404" s="55">
        <f t="shared" si="28"/>
        <v>0</v>
      </c>
      <c r="J404" s="55">
        <f>SUMIF('3-Basis ruimtestaat'!J:J,A404,'3-Basis ruimtestaat'!I:I)</f>
        <v>0</v>
      </c>
      <c r="K404" s="66" t="str">
        <f t="shared" si="32"/>
        <v/>
      </c>
      <c r="L404" s="68"/>
      <c r="M404" s="57"/>
      <c r="N404" s="69"/>
      <c r="O404" s="84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</row>
    <row r="405" spans="1:26" ht="17" hidden="1" customHeight="1">
      <c r="A405" s="512">
        <v>25160</v>
      </c>
      <c r="B405" s="72">
        <v>160</v>
      </c>
      <c r="C405" s="116"/>
      <c r="D405" s="63" t="s">
        <v>118</v>
      </c>
      <c r="E405" s="64">
        <f>E408/255*B405</f>
        <v>0</v>
      </c>
      <c r="F405" s="64"/>
      <c r="G405" s="64"/>
      <c r="H405" s="64"/>
      <c r="I405" s="55">
        <f t="shared" si="28"/>
        <v>0</v>
      </c>
      <c r="J405" s="55">
        <f>SUMIF('3-Basis ruimtestaat'!J:J,A405,'3-Basis ruimtestaat'!I:I)</f>
        <v>0</v>
      </c>
      <c r="K405" s="66" t="str">
        <f t="shared" si="32"/>
        <v/>
      </c>
      <c r="L405" s="68"/>
      <c r="M405" s="57"/>
      <c r="N405" s="69"/>
      <c r="O405" s="84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</row>
    <row r="406" spans="1:26" ht="17" hidden="1" customHeight="1">
      <c r="A406" s="512">
        <v>25200</v>
      </c>
      <c r="B406" s="72">
        <v>200</v>
      </c>
      <c r="C406" s="116"/>
      <c r="D406" s="63" t="s">
        <v>119</v>
      </c>
      <c r="E406" s="64">
        <f>E408/255*B406</f>
        <v>0</v>
      </c>
      <c r="F406" s="64"/>
      <c r="G406" s="64"/>
      <c r="H406" s="64"/>
      <c r="I406" s="55">
        <f t="shared" si="28"/>
        <v>0</v>
      </c>
      <c r="J406" s="55">
        <f>SUMIF('3-Basis ruimtestaat'!J:J,A406,'3-Basis ruimtestaat'!I:I)</f>
        <v>0</v>
      </c>
      <c r="K406" s="66" t="str">
        <f t="shared" si="32"/>
        <v/>
      </c>
      <c r="L406" s="68"/>
      <c r="M406" s="57"/>
      <c r="N406" s="69"/>
      <c r="O406" s="84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</row>
    <row r="407" spans="1:26" ht="17" hidden="1" customHeight="1">
      <c r="A407" s="512">
        <v>25208</v>
      </c>
      <c r="B407" s="72">
        <v>208</v>
      </c>
      <c r="C407" s="116"/>
      <c r="D407" s="63" t="s">
        <v>139</v>
      </c>
      <c r="E407" s="64">
        <f>E408/255*B407*1.05</f>
        <v>0</v>
      </c>
      <c r="F407" s="64"/>
      <c r="G407" s="64"/>
      <c r="H407" s="64"/>
      <c r="I407" s="55">
        <f t="shared" si="28"/>
        <v>0</v>
      </c>
      <c r="J407" s="55">
        <f>SUMIF('3-Basis ruimtestaat'!J:J,A407,'3-Basis ruimtestaat'!I:I)</f>
        <v>0</v>
      </c>
      <c r="K407" s="66" t="str">
        <f t="shared" si="32"/>
        <v/>
      </c>
      <c r="L407" s="68"/>
      <c r="M407" s="57"/>
      <c r="N407" s="69"/>
      <c r="O407" s="84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</row>
    <row r="408" spans="1:26" ht="17" hidden="1" customHeight="1">
      <c r="A408" s="512">
        <v>25255</v>
      </c>
      <c r="B408" s="72">
        <v>255</v>
      </c>
      <c r="C408" s="115"/>
      <c r="D408" s="63" t="s">
        <v>124</v>
      </c>
      <c r="E408" s="64">
        <f>O408*$O$9</f>
        <v>0</v>
      </c>
      <c r="F408" s="117"/>
      <c r="G408" s="117"/>
      <c r="H408" s="64"/>
      <c r="I408" s="55">
        <f t="shared" si="28"/>
        <v>0</v>
      </c>
      <c r="J408" s="55">
        <f>SUMIF('3-Basis ruimtestaat'!J:J,A408,'3-Basis ruimtestaat'!I:I)</f>
        <v>0</v>
      </c>
      <c r="K408" s="66" t="str">
        <f t="shared" si="32"/>
        <v/>
      </c>
      <c r="L408" s="68"/>
      <c r="M408" s="57"/>
      <c r="N408" s="69"/>
      <c r="O408" s="84">
        <v>0</v>
      </c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</row>
    <row r="409" spans="1:26" ht="17" hidden="1" customHeight="1" thickBot="1">
      <c r="A409" s="512">
        <v>25365</v>
      </c>
      <c r="B409" s="113">
        <v>365</v>
      </c>
      <c r="C409" s="115"/>
      <c r="D409" s="63" t="s">
        <v>129</v>
      </c>
      <c r="E409" s="64">
        <f>E408</f>
        <v>0</v>
      </c>
      <c r="F409" s="64"/>
      <c r="G409" s="64">
        <f>E409/255*104*0.8</f>
        <v>0</v>
      </c>
      <c r="H409" s="64"/>
      <c r="I409" s="55">
        <f t="shared" si="28"/>
        <v>0</v>
      </c>
      <c r="J409" s="55">
        <f>SUMIF('3-Basis ruimtestaat'!J:J,A409,'3-Basis ruimtestaat'!I:I)</f>
        <v>0</v>
      </c>
      <c r="K409" s="66" t="str">
        <f t="shared" si="32"/>
        <v/>
      </c>
      <c r="L409" s="68"/>
      <c r="M409" s="57"/>
      <c r="N409" s="69"/>
      <c r="O409" s="71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</row>
    <row r="410" spans="1:26" ht="17" hidden="1" customHeight="1">
      <c r="A410" s="512">
        <v>26010</v>
      </c>
      <c r="B410" s="62">
        <v>10</v>
      </c>
      <c r="C410" s="115"/>
      <c r="D410" s="63" t="s">
        <v>107</v>
      </c>
      <c r="E410" s="64">
        <f>E422/255*B410*1.5</f>
        <v>0</v>
      </c>
      <c r="F410" s="64"/>
      <c r="G410" s="64"/>
      <c r="H410" s="64"/>
      <c r="I410" s="55">
        <f t="shared" si="28"/>
        <v>0</v>
      </c>
      <c r="J410" s="55">
        <f>SUMIF('3-Basis ruimtestaat'!J:J,A410,'3-Basis ruimtestaat'!I:I)</f>
        <v>0</v>
      </c>
      <c r="K410" s="66" t="str">
        <f t="shared" si="32"/>
        <v/>
      </c>
      <c r="L410" s="68"/>
      <c r="M410" s="57"/>
      <c r="N410" s="69"/>
      <c r="O410" s="84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</row>
    <row r="411" spans="1:26" ht="17" hidden="1" customHeight="1">
      <c r="A411" s="512">
        <v>26012</v>
      </c>
      <c r="B411" s="72">
        <v>12</v>
      </c>
      <c r="C411" s="116"/>
      <c r="D411" s="63" t="s">
        <v>109</v>
      </c>
      <c r="E411" s="64">
        <f>E422/255*B411*1.5</f>
        <v>0</v>
      </c>
      <c r="F411" s="64"/>
      <c r="G411" s="64"/>
      <c r="H411" s="64"/>
      <c r="I411" s="55">
        <f t="shared" si="28"/>
        <v>0</v>
      </c>
      <c r="J411" s="55">
        <f>SUMIF('3-Basis ruimtestaat'!J:J,A411,'3-Basis ruimtestaat'!I:I)</f>
        <v>0</v>
      </c>
      <c r="K411" s="66" t="str">
        <f t="shared" si="32"/>
        <v/>
      </c>
      <c r="L411" s="68"/>
      <c r="M411" s="57"/>
      <c r="N411" s="69"/>
      <c r="O411" s="71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 spans="1:26" ht="17" hidden="1" customHeight="1">
      <c r="A412" s="512">
        <v>26040</v>
      </c>
      <c r="B412" s="72">
        <v>40</v>
      </c>
      <c r="C412" s="116"/>
      <c r="D412" s="63" t="s">
        <v>137</v>
      </c>
      <c r="E412" s="64">
        <f>E422/255*B412*1.3</f>
        <v>0</v>
      </c>
      <c r="F412" s="64"/>
      <c r="G412" s="64"/>
      <c r="H412" s="64"/>
      <c r="I412" s="55">
        <f t="shared" si="28"/>
        <v>0</v>
      </c>
      <c r="J412" s="55">
        <f>SUMIF('3-Basis ruimtestaat'!J:J,A412,'3-Basis ruimtestaat'!I:I)</f>
        <v>0</v>
      </c>
      <c r="K412" s="66" t="str">
        <f t="shared" si="32"/>
        <v/>
      </c>
      <c r="L412" s="68"/>
      <c r="M412" s="57"/>
      <c r="N412" s="69"/>
      <c r="O412" s="84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</row>
    <row r="413" spans="1:26" ht="17" hidden="1" customHeight="1">
      <c r="A413" s="512">
        <v>26052</v>
      </c>
      <c r="B413" s="72">
        <v>52</v>
      </c>
      <c r="C413" s="115"/>
      <c r="D413" s="63" t="s">
        <v>111</v>
      </c>
      <c r="E413" s="64">
        <f>E422/255*B413*1.4</f>
        <v>0</v>
      </c>
      <c r="F413" s="64"/>
      <c r="G413" s="64"/>
      <c r="H413" s="64"/>
      <c r="I413" s="55">
        <f t="shared" si="28"/>
        <v>0</v>
      </c>
      <c r="J413" s="55">
        <f>SUMIF('3-Basis ruimtestaat'!J:J,A413,'3-Basis ruimtestaat'!I:I)</f>
        <v>0</v>
      </c>
      <c r="K413" s="66" t="str">
        <f t="shared" si="32"/>
        <v/>
      </c>
      <c r="L413" s="68"/>
      <c r="M413" s="57"/>
      <c r="N413" s="69"/>
      <c r="O413" s="71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</row>
    <row r="414" spans="1:26" ht="17" hidden="1" customHeight="1">
      <c r="A414" s="512">
        <v>26080</v>
      </c>
      <c r="B414" s="72">
        <v>80</v>
      </c>
      <c r="C414" s="115"/>
      <c r="D414" s="63" t="s">
        <v>112</v>
      </c>
      <c r="E414" s="64">
        <f>E422/255*B414*1.2</f>
        <v>0</v>
      </c>
      <c r="F414" s="64"/>
      <c r="G414" s="64"/>
      <c r="H414" s="64"/>
      <c r="I414" s="55">
        <f t="shared" si="28"/>
        <v>0</v>
      </c>
      <c r="J414" s="55">
        <f>SUMIF('3-Basis ruimtestaat'!J:J,A414,'3-Basis ruimtestaat'!I:I)</f>
        <v>0</v>
      </c>
      <c r="K414" s="66" t="str">
        <f t="shared" si="32"/>
        <v/>
      </c>
      <c r="L414" s="68"/>
      <c r="M414" s="57"/>
      <c r="N414" s="69"/>
      <c r="O414" s="71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</row>
    <row r="415" spans="1:26" ht="17" hidden="1" customHeight="1">
      <c r="A415" s="512">
        <v>26104</v>
      </c>
      <c r="B415" s="72">
        <v>104</v>
      </c>
      <c r="C415" s="115"/>
      <c r="D415" s="63" t="s">
        <v>113</v>
      </c>
      <c r="E415" s="64">
        <f>E422/255*B415*1.2</f>
        <v>0</v>
      </c>
      <c r="F415" s="64"/>
      <c r="G415" s="64"/>
      <c r="H415" s="64"/>
      <c r="I415" s="55">
        <f t="shared" si="28"/>
        <v>0</v>
      </c>
      <c r="J415" s="55">
        <f>SUMIF('3-Basis ruimtestaat'!J:J,A415,'3-Basis ruimtestaat'!I:I)</f>
        <v>0</v>
      </c>
      <c r="K415" s="66" t="str">
        <f t="shared" si="32"/>
        <v/>
      </c>
      <c r="L415" s="68"/>
      <c r="M415" s="57"/>
      <c r="N415" s="69"/>
      <c r="O415" s="84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</row>
    <row r="416" spans="1:26" ht="17" hidden="1" customHeight="1">
      <c r="A416" s="512">
        <v>26120</v>
      </c>
      <c r="B416" s="72">
        <v>120</v>
      </c>
      <c r="C416" s="116"/>
      <c r="D416" s="63" t="s">
        <v>114</v>
      </c>
      <c r="E416" s="64">
        <f>E422/255*B416*1.2</f>
        <v>0</v>
      </c>
      <c r="F416" s="64"/>
      <c r="G416" s="64"/>
      <c r="H416" s="64"/>
      <c r="I416" s="55">
        <f t="shared" si="28"/>
        <v>0</v>
      </c>
      <c r="J416" s="55">
        <f>SUMIF('3-Basis ruimtestaat'!J:J,A416,'3-Basis ruimtestaat'!I:I)</f>
        <v>0</v>
      </c>
      <c r="K416" s="66" t="str">
        <f t="shared" si="32"/>
        <v/>
      </c>
      <c r="L416" s="68"/>
      <c r="M416" s="57"/>
      <c r="N416" s="69"/>
      <c r="O416" s="71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</row>
    <row r="417" spans="1:26" ht="17" hidden="1" customHeight="1">
      <c r="A417" s="512">
        <v>26130</v>
      </c>
      <c r="B417" s="72">
        <v>130</v>
      </c>
      <c r="C417" s="116"/>
      <c r="D417" s="63" t="s">
        <v>115</v>
      </c>
      <c r="E417" s="64">
        <f>E422/255*B417*1.1</f>
        <v>0</v>
      </c>
      <c r="F417" s="64"/>
      <c r="G417" s="64"/>
      <c r="H417" s="64"/>
      <c r="I417" s="55">
        <f t="shared" si="28"/>
        <v>0</v>
      </c>
      <c r="J417" s="55">
        <f>SUMIF('3-Basis ruimtestaat'!J:J,A417,'3-Basis ruimtestaat'!I:I)</f>
        <v>0</v>
      </c>
      <c r="K417" s="66" t="str">
        <f t="shared" si="32"/>
        <v/>
      </c>
      <c r="L417" s="68"/>
      <c r="M417" s="57"/>
      <c r="N417" s="69"/>
      <c r="O417" s="71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</row>
    <row r="418" spans="1:26" ht="17" hidden="1" customHeight="1">
      <c r="A418" s="512">
        <v>26156</v>
      </c>
      <c r="B418" s="72">
        <v>156</v>
      </c>
      <c r="C418" s="116"/>
      <c r="D418" s="63" t="s">
        <v>117</v>
      </c>
      <c r="E418" s="64">
        <f>E422/255*B418*1.1</f>
        <v>0</v>
      </c>
      <c r="F418" s="64"/>
      <c r="G418" s="64"/>
      <c r="H418" s="64"/>
      <c r="I418" s="55">
        <f t="shared" si="28"/>
        <v>0</v>
      </c>
      <c r="J418" s="55">
        <f>SUMIF('3-Basis ruimtestaat'!J:J,A418,'3-Basis ruimtestaat'!I:I)</f>
        <v>0</v>
      </c>
      <c r="K418" s="66" t="str">
        <f t="shared" si="32"/>
        <v/>
      </c>
      <c r="L418" s="68"/>
      <c r="M418" s="57"/>
      <c r="N418" s="69"/>
      <c r="O418" s="71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</row>
    <row r="419" spans="1:26" ht="17" hidden="1" customHeight="1">
      <c r="A419" s="512">
        <v>26160</v>
      </c>
      <c r="B419" s="72">
        <v>160</v>
      </c>
      <c r="C419" s="116"/>
      <c r="D419" s="63" t="s">
        <v>118</v>
      </c>
      <c r="E419" s="64">
        <f>E422/255*B419</f>
        <v>0</v>
      </c>
      <c r="F419" s="64"/>
      <c r="G419" s="64"/>
      <c r="H419" s="64"/>
      <c r="I419" s="55">
        <f t="shared" si="28"/>
        <v>0</v>
      </c>
      <c r="J419" s="55">
        <f>SUMIF('3-Basis ruimtestaat'!J:J,A419,'3-Basis ruimtestaat'!I:I)</f>
        <v>0</v>
      </c>
      <c r="K419" s="66" t="str">
        <f t="shared" si="32"/>
        <v/>
      </c>
      <c r="L419" s="68"/>
      <c r="M419" s="57"/>
      <c r="N419" s="69"/>
      <c r="O419" s="71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</row>
    <row r="420" spans="1:26" ht="17" hidden="1" customHeight="1">
      <c r="A420" s="512">
        <v>26200</v>
      </c>
      <c r="B420" s="72">
        <v>200</v>
      </c>
      <c r="C420" s="116"/>
      <c r="D420" s="63" t="s">
        <v>119</v>
      </c>
      <c r="E420" s="64">
        <f>E422/255*B420</f>
        <v>0</v>
      </c>
      <c r="F420" s="64"/>
      <c r="G420" s="64"/>
      <c r="H420" s="64"/>
      <c r="I420" s="55">
        <f t="shared" si="28"/>
        <v>0</v>
      </c>
      <c r="J420" s="55">
        <f>SUMIF('3-Basis ruimtestaat'!J:J,A420,'3-Basis ruimtestaat'!I:I)</f>
        <v>0</v>
      </c>
      <c r="K420" s="66" t="str">
        <f t="shared" si="32"/>
        <v/>
      </c>
      <c r="L420" s="68"/>
      <c r="M420" s="57"/>
      <c r="N420" s="69"/>
      <c r="O420" s="84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</row>
    <row r="421" spans="1:26" ht="17" hidden="1" customHeight="1">
      <c r="A421" s="512">
        <v>26208</v>
      </c>
      <c r="B421" s="72">
        <v>208</v>
      </c>
      <c r="C421" s="116"/>
      <c r="D421" s="63" t="s">
        <v>139</v>
      </c>
      <c r="E421" s="64">
        <f>E422/255*B421*1.05</f>
        <v>0</v>
      </c>
      <c r="F421" s="64"/>
      <c r="G421" s="64"/>
      <c r="H421" s="64"/>
      <c r="I421" s="55">
        <f t="shared" si="28"/>
        <v>0</v>
      </c>
      <c r="J421" s="55">
        <f>SUMIF('3-Basis ruimtestaat'!J:J,A421,'3-Basis ruimtestaat'!I:I)</f>
        <v>0</v>
      </c>
      <c r="K421" s="66" t="str">
        <f t="shared" si="32"/>
        <v/>
      </c>
      <c r="L421" s="68"/>
      <c r="M421" s="57"/>
      <c r="N421" s="69"/>
      <c r="O421" s="84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</row>
    <row r="422" spans="1:26" ht="17" hidden="1" customHeight="1">
      <c r="A422" s="512">
        <v>26255</v>
      </c>
      <c r="B422" s="72">
        <v>255</v>
      </c>
      <c r="C422" s="116"/>
      <c r="D422" s="63" t="s">
        <v>124</v>
      </c>
      <c r="E422" s="64">
        <f>O422*$O$9</f>
        <v>0</v>
      </c>
      <c r="F422" s="64"/>
      <c r="G422" s="64"/>
      <c r="H422" s="64"/>
      <c r="I422" s="55">
        <f t="shared" si="28"/>
        <v>0</v>
      </c>
      <c r="J422" s="55">
        <f>SUMIF('3-Basis ruimtestaat'!J:J,A422,'3-Basis ruimtestaat'!I:I)</f>
        <v>0</v>
      </c>
      <c r="K422" s="66" t="str">
        <f t="shared" si="32"/>
        <v/>
      </c>
      <c r="L422" s="68"/>
      <c r="M422" s="57"/>
      <c r="N422" s="69"/>
      <c r="O422" s="84">
        <v>0</v>
      </c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</row>
    <row r="423" spans="1:26" ht="17" hidden="1" customHeight="1" thickBot="1">
      <c r="A423" s="512">
        <v>26365</v>
      </c>
      <c r="B423" s="113">
        <v>365</v>
      </c>
      <c r="C423" s="115"/>
      <c r="D423" s="63" t="s">
        <v>129</v>
      </c>
      <c r="E423" s="64">
        <f>E422</f>
        <v>0</v>
      </c>
      <c r="F423" s="64"/>
      <c r="G423" s="64">
        <f>E423/255*104*0.8</f>
        <v>0</v>
      </c>
      <c r="H423" s="64"/>
      <c r="I423" s="55">
        <f t="shared" si="28"/>
        <v>0</v>
      </c>
      <c r="J423" s="55">
        <f>SUMIF('3-Basis ruimtestaat'!J:J,A423,'3-Basis ruimtestaat'!I:I)</f>
        <v>0</v>
      </c>
      <c r="K423" s="66" t="str">
        <f t="shared" si="32"/>
        <v/>
      </c>
      <c r="L423" s="68"/>
      <c r="M423" s="57"/>
      <c r="N423" s="69"/>
      <c r="O423" s="71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</row>
    <row r="424" spans="1:26" ht="17" hidden="1" customHeight="1">
      <c r="A424" s="512">
        <v>27010</v>
      </c>
      <c r="B424" s="62">
        <v>10</v>
      </c>
      <c r="C424" s="115"/>
      <c r="D424" s="63" t="s">
        <v>107</v>
      </c>
      <c r="E424" s="64">
        <f>E436/255*B424*1.5</f>
        <v>0</v>
      </c>
      <c r="F424" s="64"/>
      <c r="G424" s="64"/>
      <c r="H424" s="64"/>
      <c r="I424" s="55">
        <f t="shared" si="28"/>
        <v>0</v>
      </c>
      <c r="J424" s="55">
        <f>SUMIF('3-Basis ruimtestaat'!J:J,A424,'3-Basis ruimtestaat'!I:I)</f>
        <v>0</v>
      </c>
      <c r="K424" s="66" t="str">
        <f t="shared" si="32"/>
        <v/>
      </c>
      <c r="L424" s="68"/>
      <c r="M424" s="57"/>
      <c r="N424" s="69"/>
      <c r="O424" s="84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</row>
    <row r="425" spans="1:26" ht="17" hidden="1" customHeight="1">
      <c r="A425" s="512">
        <v>27012</v>
      </c>
      <c r="B425" s="72">
        <v>12</v>
      </c>
      <c r="C425" s="115"/>
      <c r="D425" s="63" t="s">
        <v>109</v>
      </c>
      <c r="E425" s="64">
        <f>E436/255*B425*1.5</f>
        <v>0</v>
      </c>
      <c r="F425" s="64"/>
      <c r="G425" s="64"/>
      <c r="H425" s="64"/>
      <c r="I425" s="55">
        <f t="shared" si="28"/>
        <v>0</v>
      </c>
      <c r="J425" s="55">
        <f>SUMIF('3-Basis ruimtestaat'!J:J,A425,'3-Basis ruimtestaat'!I:I)</f>
        <v>0</v>
      </c>
      <c r="K425" s="66" t="str">
        <f t="shared" ref="K425:K481" si="33">IF(J425=0,"",J425/$J$482)</f>
        <v/>
      </c>
      <c r="L425" s="68"/>
      <c r="M425" s="57"/>
      <c r="N425" s="69"/>
      <c r="O425" s="84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</row>
    <row r="426" spans="1:26" ht="17" hidden="1" customHeight="1">
      <c r="A426" s="512">
        <v>27040</v>
      </c>
      <c r="B426" s="72">
        <v>40</v>
      </c>
      <c r="C426" s="116"/>
      <c r="D426" s="63" t="s">
        <v>137</v>
      </c>
      <c r="E426" s="64">
        <f>E436/255*B426*1.3</f>
        <v>0</v>
      </c>
      <c r="F426" s="64"/>
      <c r="G426" s="64"/>
      <c r="H426" s="64"/>
      <c r="I426" s="55">
        <f t="shared" si="28"/>
        <v>0</v>
      </c>
      <c r="J426" s="55">
        <f>SUMIF('3-Basis ruimtestaat'!J:J,A426,'3-Basis ruimtestaat'!I:I)</f>
        <v>0</v>
      </c>
      <c r="K426" s="66" t="str">
        <f t="shared" si="33"/>
        <v/>
      </c>
      <c r="L426" s="68"/>
      <c r="M426" s="57"/>
      <c r="N426" s="69"/>
      <c r="O426" s="71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</row>
    <row r="427" spans="1:26" ht="17" hidden="1" customHeight="1">
      <c r="A427" s="512">
        <v>27052</v>
      </c>
      <c r="B427" s="72">
        <v>52</v>
      </c>
      <c r="C427" s="116"/>
      <c r="D427" s="63" t="s">
        <v>111</v>
      </c>
      <c r="E427" s="64">
        <f>E436/255*B427*1.4</f>
        <v>0</v>
      </c>
      <c r="F427" s="64"/>
      <c r="G427" s="64"/>
      <c r="H427" s="64"/>
      <c r="I427" s="55">
        <f t="shared" si="28"/>
        <v>0</v>
      </c>
      <c r="J427" s="55">
        <f>SUMIF('3-Basis ruimtestaat'!J:J,A427,'3-Basis ruimtestaat'!I:I)</f>
        <v>0</v>
      </c>
      <c r="K427" s="66" t="str">
        <f t="shared" si="33"/>
        <v/>
      </c>
      <c r="L427" s="68"/>
      <c r="M427" s="57"/>
      <c r="N427" s="69"/>
      <c r="O427" s="71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</row>
    <row r="428" spans="1:26" ht="17" hidden="1" customHeight="1">
      <c r="A428" s="512">
        <v>27080</v>
      </c>
      <c r="B428" s="72">
        <v>80</v>
      </c>
      <c r="C428" s="116"/>
      <c r="D428" s="63" t="s">
        <v>112</v>
      </c>
      <c r="E428" s="64">
        <f>E436/255*B428*1.2</f>
        <v>0</v>
      </c>
      <c r="F428" s="64"/>
      <c r="G428" s="64"/>
      <c r="H428" s="64"/>
      <c r="I428" s="55">
        <f t="shared" si="28"/>
        <v>0</v>
      </c>
      <c r="J428" s="55">
        <f>SUMIF('3-Basis ruimtestaat'!J:J,A428,'3-Basis ruimtestaat'!I:I)</f>
        <v>0</v>
      </c>
      <c r="K428" s="66" t="str">
        <f t="shared" si="33"/>
        <v/>
      </c>
      <c r="L428" s="68"/>
      <c r="M428" s="57"/>
      <c r="N428" s="69"/>
      <c r="O428" s="71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</row>
    <row r="429" spans="1:26" ht="17" hidden="1" customHeight="1">
      <c r="A429" s="512">
        <v>27104</v>
      </c>
      <c r="B429" s="72">
        <v>104</v>
      </c>
      <c r="C429" s="116"/>
      <c r="D429" s="63" t="s">
        <v>113</v>
      </c>
      <c r="E429" s="64">
        <f>E436/255*B429*1.2</f>
        <v>0</v>
      </c>
      <c r="F429" s="64"/>
      <c r="G429" s="64"/>
      <c r="H429" s="64"/>
      <c r="I429" s="55">
        <f t="shared" si="28"/>
        <v>0</v>
      </c>
      <c r="J429" s="55">
        <f>SUMIF('3-Basis ruimtestaat'!J:J,A429,'3-Basis ruimtestaat'!I:I)</f>
        <v>0</v>
      </c>
      <c r="K429" s="66" t="str">
        <f t="shared" si="33"/>
        <v/>
      </c>
      <c r="L429" s="68"/>
      <c r="M429" s="57"/>
      <c r="N429" s="69"/>
      <c r="O429" s="71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</row>
    <row r="430" spans="1:26" ht="17" hidden="1" customHeight="1">
      <c r="A430" s="512">
        <v>27120</v>
      </c>
      <c r="B430" s="72">
        <v>120</v>
      </c>
      <c r="C430" s="116"/>
      <c r="D430" s="63" t="s">
        <v>114</v>
      </c>
      <c r="E430" s="64">
        <f>E436/255*B430*1.2</f>
        <v>0</v>
      </c>
      <c r="F430" s="64"/>
      <c r="G430" s="64"/>
      <c r="H430" s="64"/>
      <c r="I430" s="55">
        <f t="shared" si="28"/>
        <v>0</v>
      </c>
      <c r="J430" s="55">
        <f>SUMIF('3-Basis ruimtestaat'!J:J,A430,'3-Basis ruimtestaat'!I:I)</f>
        <v>0</v>
      </c>
      <c r="K430" s="66" t="str">
        <f t="shared" si="33"/>
        <v/>
      </c>
      <c r="L430" s="68"/>
      <c r="M430" s="57"/>
      <c r="N430" s="69"/>
      <c r="O430" s="84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</row>
    <row r="431" spans="1:26" ht="17" hidden="1" customHeight="1">
      <c r="A431" s="512">
        <v>27130</v>
      </c>
      <c r="B431" s="72">
        <v>130</v>
      </c>
      <c r="C431" s="116"/>
      <c r="D431" s="63" t="s">
        <v>115</v>
      </c>
      <c r="E431" s="64">
        <f>E436/255*B431*1.1</f>
        <v>0</v>
      </c>
      <c r="F431" s="64"/>
      <c r="G431" s="64"/>
      <c r="H431" s="64"/>
      <c r="I431" s="55">
        <f t="shared" si="28"/>
        <v>0</v>
      </c>
      <c r="J431" s="55">
        <f>SUMIF('3-Basis ruimtestaat'!J:J,A431,'3-Basis ruimtestaat'!I:I)</f>
        <v>0</v>
      </c>
      <c r="K431" s="66" t="str">
        <f t="shared" si="33"/>
        <v/>
      </c>
      <c r="L431" s="68"/>
      <c r="M431" s="57"/>
      <c r="N431" s="69"/>
      <c r="O431" s="84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</row>
    <row r="432" spans="1:26" ht="17" hidden="1" customHeight="1">
      <c r="A432" s="512">
        <v>27156</v>
      </c>
      <c r="B432" s="72">
        <v>156</v>
      </c>
      <c r="C432" s="116"/>
      <c r="D432" s="63" t="s">
        <v>117</v>
      </c>
      <c r="E432" s="64">
        <f>E436/255*B432*1.1</f>
        <v>0</v>
      </c>
      <c r="F432" s="64"/>
      <c r="G432" s="64"/>
      <c r="H432" s="64"/>
      <c r="I432" s="55">
        <f t="shared" si="28"/>
        <v>0</v>
      </c>
      <c r="J432" s="55">
        <f>SUMIF('3-Basis ruimtestaat'!J:J,A432,'3-Basis ruimtestaat'!I:I)</f>
        <v>0</v>
      </c>
      <c r="K432" s="66" t="str">
        <f t="shared" si="33"/>
        <v/>
      </c>
      <c r="L432" s="68"/>
      <c r="M432" s="57"/>
      <c r="N432" s="69"/>
      <c r="O432" s="84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</row>
    <row r="433" spans="1:26" ht="17" hidden="1" customHeight="1">
      <c r="A433" s="512">
        <v>27160</v>
      </c>
      <c r="B433" s="72">
        <v>160</v>
      </c>
      <c r="C433" s="116"/>
      <c r="D433" s="63" t="s">
        <v>118</v>
      </c>
      <c r="E433" s="64">
        <f>E436/255*B433</f>
        <v>0</v>
      </c>
      <c r="F433" s="64"/>
      <c r="G433" s="64"/>
      <c r="H433" s="64"/>
      <c r="I433" s="55">
        <f t="shared" si="28"/>
        <v>0</v>
      </c>
      <c r="J433" s="55">
        <f>SUMIF('3-Basis ruimtestaat'!J:J,A433,'3-Basis ruimtestaat'!I:I)</f>
        <v>0</v>
      </c>
      <c r="K433" s="66" t="str">
        <f t="shared" si="33"/>
        <v/>
      </c>
      <c r="L433" s="68"/>
      <c r="M433" s="57"/>
      <c r="N433" s="69"/>
      <c r="O433" s="84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</row>
    <row r="434" spans="1:26" ht="17" hidden="1" customHeight="1">
      <c r="A434" s="512">
        <v>27200</v>
      </c>
      <c r="B434" s="72">
        <v>200</v>
      </c>
      <c r="C434" s="115"/>
      <c r="D434" s="63" t="s">
        <v>119</v>
      </c>
      <c r="E434" s="64">
        <f>E436/255*B434</f>
        <v>0</v>
      </c>
      <c r="F434" s="117"/>
      <c r="G434" s="117"/>
      <c r="H434" s="64"/>
      <c r="I434" s="55">
        <f t="shared" si="28"/>
        <v>0</v>
      </c>
      <c r="J434" s="55">
        <f>SUMIF('3-Basis ruimtestaat'!J:J,A434,'3-Basis ruimtestaat'!I:I)</f>
        <v>0</v>
      </c>
      <c r="K434" s="66" t="str">
        <f t="shared" si="33"/>
        <v/>
      </c>
      <c r="L434" s="68"/>
      <c r="M434" s="57"/>
      <c r="N434" s="69"/>
      <c r="O434" s="71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</row>
    <row r="435" spans="1:26" ht="17" hidden="1" customHeight="1">
      <c r="A435" s="512">
        <v>27208</v>
      </c>
      <c r="B435" s="72">
        <v>208</v>
      </c>
      <c r="C435" s="115"/>
      <c r="D435" s="63" t="s">
        <v>139</v>
      </c>
      <c r="E435" s="64">
        <f>E436/255*B435*1.05</f>
        <v>0</v>
      </c>
      <c r="F435" s="117"/>
      <c r="G435" s="117"/>
      <c r="H435" s="64"/>
      <c r="I435" s="55">
        <f t="shared" si="28"/>
        <v>0</v>
      </c>
      <c r="J435" s="55">
        <f>SUMIF('3-Basis ruimtestaat'!J:J,A435,'3-Basis ruimtestaat'!I:I)</f>
        <v>0</v>
      </c>
      <c r="K435" s="66" t="str">
        <f t="shared" si="33"/>
        <v/>
      </c>
      <c r="L435" s="68"/>
      <c r="M435" s="57"/>
      <c r="N435" s="69"/>
      <c r="O435" s="71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</row>
    <row r="436" spans="1:26" ht="17" hidden="1" customHeight="1">
      <c r="A436" s="512">
        <v>27255</v>
      </c>
      <c r="B436" s="72">
        <v>255</v>
      </c>
      <c r="C436" s="115"/>
      <c r="D436" s="63" t="s">
        <v>124</v>
      </c>
      <c r="E436" s="64">
        <f>O436*$O$9</f>
        <v>0</v>
      </c>
      <c r="F436" s="117"/>
      <c r="G436" s="117"/>
      <c r="H436" s="64"/>
      <c r="I436" s="55">
        <f t="shared" si="28"/>
        <v>0</v>
      </c>
      <c r="J436" s="55">
        <f>SUMIF('3-Basis ruimtestaat'!J:J,A436,'3-Basis ruimtestaat'!I:I)</f>
        <v>0</v>
      </c>
      <c r="K436" s="66" t="str">
        <f t="shared" si="33"/>
        <v/>
      </c>
      <c r="L436" s="68"/>
      <c r="M436" s="57"/>
      <c r="N436" s="69"/>
      <c r="O436" s="84">
        <v>0</v>
      </c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</row>
    <row r="437" spans="1:26" ht="17" hidden="1" customHeight="1" thickBot="1">
      <c r="A437" s="512">
        <v>27365</v>
      </c>
      <c r="B437" s="113">
        <v>365</v>
      </c>
      <c r="C437" s="51"/>
      <c r="D437" s="63" t="s">
        <v>129</v>
      </c>
      <c r="E437" s="64">
        <f>E436</f>
        <v>0</v>
      </c>
      <c r="F437" s="64"/>
      <c r="G437" s="64">
        <f>E437/255*104*0.8</f>
        <v>0</v>
      </c>
      <c r="H437" s="52"/>
      <c r="I437" s="55">
        <f t="shared" si="28"/>
        <v>0</v>
      </c>
      <c r="J437" s="55">
        <f>SUMIF('3-Basis ruimtestaat'!J:J,A437,'3-Basis ruimtestaat'!I:I)</f>
        <v>0</v>
      </c>
      <c r="K437" s="66" t="str">
        <f t="shared" si="33"/>
        <v/>
      </c>
      <c r="L437" s="56"/>
      <c r="M437" s="57"/>
      <c r="N437" s="69"/>
      <c r="O437" s="71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</row>
    <row r="438" spans="1:26" ht="17" hidden="1" customHeight="1">
      <c r="A438" s="512">
        <v>28010</v>
      </c>
      <c r="B438" s="62">
        <v>10</v>
      </c>
      <c r="C438" s="115"/>
      <c r="D438" s="63" t="s">
        <v>107</v>
      </c>
      <c r="E438" s="64">
        <f>E450/255*B438*1.5</f>
        <v>0</v>
      </c>
      <c r="F438" s="64"/>
      <c r="G438" s="64"/>
      <c r="H438" s="64"/>
      <c r="I438" s="55">
        <f t="shared" si="28"/>
        <v>0</v>
      </c>
      <c r="J438" s="55">
        <f>SUMIF('3-Basis ruimtestaat'!J:J,A438,'3-Basis ruimtestaat'!I:I)</f>
        <v>0</v>
      </c>
      <c r="K438" s="66" t="str">
        <f t="shared" si="33"/>
        <v/>
      </c>
      <c r="L438" s="68"/>
      <c r="M438" s="57"/>
      <c r="N438" s="69"/>
      <c r="O438" s="71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</row>
    <row r="439" spans="1:26" ht="17" hidden="1" customHeight="1">
      <c r="A439" s="512">
        <v>28012</v>
      </c>
      <c r="B439" s="72">
        <v>12</v>
      </c>
      <c r="C439" s="115"/>
      <c r="D439" s="63" t="s">
        <v>109</v>
      </c>
      <c r="E439" s="64">
        <f>E450/255*B439*1.5</f>
        <v>0</v>
      </c>
      <c r="F439" s="64"/>
      <c r="G439" s="64"/>
      <c r="H439" s="64"/>
      <c r="I439" s="55">
        <f t="shared" si="28"/>
        <v>0</v>
      </c>
      <c r="J439" s="55">
        <f>SUMIF('3-Basis ruimtestaat'!J:J,A439,'3-Basis ruimtestaat'!I:I)</f>
        <v>0</v>
      </c>
      <c r="K439" s="66" t="str">
        <f t="shared" si="33"/>
        <v/>
      </c>
      <c r="L439" s="68"/>
      <c r="M439" s="57"/>
      <c r="N439" s="69"/>
      <c r="O439" s="71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</row>
    <row r="440" spans="1:26" ht="17" hidden="1" customHeight="1">
      <c r="A440" s="512">
        <v>28040</v>
      </c>
      <c r="B440" s="72">
        <v>40</v>
      </c>
      <c r="C440" s="115"/>
      <c r="D440" s="63" t="s">
        <v>137</v>
      </c>
      <c r="E440" s="64">
        <f>E450/255*B440*1.3</f>
        <v>0</v>
      </c>
      <c r="F440" s="64"/>
      <c r="G440" s="64"/>
      <c r="H440" s="64"/>
      <c r="I440" s="55">
        <f t="shared" si="28"/>
        <v>0</v>
      </c>
      <c r="J440" s="55">
        <f>SUMIF('3-Basis ruimtestaat'!J:J,A440,'3-Basis ruimtestaat'!I:I)</f>
        <v>0</v>
      </c>
      <c r="K440" s="66" t="str">
        <f t="shared" si="33"/>
        <v/>
      </c>
      <c r="L440" s="68"/>
      <c r="M440" s="57"/>
      <c r="N440" s="69"/>
      <c r="O440" s="71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</row>
    <row r="441" spans="1:26" ht="17" hidden="1" customHeight="1">
      <c r="A441" s="512">
        <v>28052</v>
      </c>
      <c r="B441" s="72">
        <v>52</v>
      </c>
      <c r="C441" s="115"/>
      <c r="D441" s="63" t="s">
        <v>111</v>
      </c>
      <c r="E441" s="64">
        <f>E450/255*B441*1.4</f>
        <v>0</v>
      </c>
      <c r="F441" s="64"/>
      <c r="G441" s="64"/>
      <c r="H441" s="64"/>
      <c r="I441" s="55">
        <f t="shared" si="28"/>
        <v>0</v>
      </c>
      <c r="J441" s="55">
        <f>SUMIF('3-Basis ruimtestaat'!J:J,A441,'3-Basis ruimtestaat'!I:I)</f>
        <v>0</v>
      </c>
      <c r="K441" s="66" t="str">
        <f t="shared" si="33"/>
        <v/>
      </c>
      <c r="L441" s="68"/>
      <c r="M441" s="57"/>
      <c r="N441" s="69"/>
      <c r="O441" s="71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</row>
    <row r="442" spans="1:26" ht="17" hidden="1" customHeight="1">
      <c r="A442" s="512">
        <v>28080</v>
      </c>
      <c r="B442" s="72">
        <v>80</v>
      </c>
      <c r="C442" s="115"/>
      <c r="D442" s="63" t="s">
        <v>112</v>
      </c>
      <c r="E442" s="64">
        <f>E450/255*B442*1.2</f>
        <v>0</v>
      </c>
      <c r="F442" s="64"/>
      <c r="G442" s="64"/>
      <c r="H442" s="64"/>
      <c r="I442" s="55">
        <f t="shared" si="28"/>
        <v>0</v>
      </c>
      <c r="J442" s="55">
        <f>SUMIF('3-Basis ruimtestaat'!J:J,A442,'3-Basis ruimtestaat'!I:I)</f>
        <v>0</v>
      </c>
      <c r="K442" s="66" t="str">
        <f t="shared" si="33"/>
        <v/>
      </c>
      <c r="L442" s="68"/>
      <c r="M442" s="57"/>
      <c r="N442" s="69"/>
      <c r="O442" s="71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</row>
    <row r="443" spans="1:26" ht="17" hidden="1" customHeight="1">
      <c r="A443" s="512">
        <v>28104</v>
      </c>
      <c r="B443" s="72">
        <v>104</v>
      </c>
      <c r="C443" s="115"/>
      <c r="D443" s="63" t="s">
        <v>113</v>
      </c>
      <c r="E443" s="64">
        <f>E450/255*B443*1.2</f>
        <v>0</v>
      </c>
      <c r="F443" s="64"/>
      <c r="G443" s="64"/>
      <c r="H443" s="64"/>
      <c r="I443" s="55">
        <f t="shared" si="28"/>
        <v>0</v>
      </c>
      <c r="J443" s="55">
        <f>SUMIF('3-Basis ruimtestaat'!J:J,A443,'3-Basis ruimtestaat'!I:I)</f>
        <v>0</v>
      </c>
      <c r="K443" s="66" t="str">
        <f t="shared" si="33"/>
        <v/>
      </c>
      <c r="L443" s="68"/>
      <c r="M443" s="57"/>
      <c r="N443" s="69"/>
      <c r="O443" s="84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</row>
    <row r="444" spans="1:26" ht="17" hidden="1" customHeight="1">
      <c r="A444" s="512">
        <v>28120</v>
      </c>
      <c r="B444" s="72">
        <v>120</v>
      </c>
      <c r="C444" s="115"/>
      <c r="D444" s="63" t="s">
        <v>114</v>
      </c>
      <c r="E444" s="64">
        <f>E450/255*B444*1.2</f>
        <v>0</v>
      </c>
      <c r="F444" s="64"/>
      <c r="G444" s="64"/>
      <c r="H444" s="64"/>
      <c r="I444" s="55">
        <f t="shared" si="28"/>
        <v>0</v>
      </c>
      <c r="J444" s="55">
        <f>SUMIF('3-Basis ruimtestaat'!J:J,A444,'3-Basis ruimtestaat'!I:I)</f>
        <v>0</v>
      </c>
      <c r="K444" s="66" t="str">
        <f t="shared" si="33"/>
        <v/>
      </c>
      <c r="L444" s="68"/>
      <c r="M444" s="57"/>
      <c r="N444" s="69"/>
      <c r="O444" s="71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</row>
    <row r="445" spans="1:26" ht="17" hidden="1" customHeight="1">
      <c r="A445" s="512">
        <v>28130</v>
      </c>
      <c r="B445" s="72">
        <v>130</v>
      </c>
      <c r="C445" s="115"/>
      <c r="D445" s="63" t="s">
        <v>115</v>
      </c>
      <c r="E445" s="64">
        <f>E450/255*B445*1.1</f>
        <v>0</v>
      </c>
      <c r="F445" s="64"/>
      <c r="G445" s="64"/>
      <c r="H445" s="64"/>
      <c r="I445" s="55">
        <f t="shared" si="28"/>
        <v>0</v>
      </c>
      <c r="J445" s="55">
        <f>SUMIF('3-Basis ruimtestaat'!J:J,A445,'3-Basis ruimtestaat'!I:I)</f>
        <v>0</v>
      </c>
      <c r="K445" s="66" t="str">
        <f t="shared" si="33"/>
        <v/>
      </c>
      <c r="L445" s="68"/>
      <c r="M445" s="57"/>
      <c r="N445" s="69"/>
      <c r="O445" s="71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</row>
    <row r="446" spans="1:26" ht="17" hidden="1" customHeight="1">
      <c r="A446" s="512">
        <v>28156</v>
      </c>
      <c r="B446" s="72">
        <v>156</v>
      </c>
      <c r="C446" s="115"/>
      <c r="D446" s="63" t="s">
        <v>117</v>
      </c>
      <c r="E446" s="64">
        <f>E450/255*B446*1.1</f>
        <v>0</v>
      </c>
      <c r="F446" s="64"/>
      <c r="G446" s="64"/>
      <c r="H446" s="64"/>
      <c r="I446" s="55">
        <f t="shared" si="28"/>
        <v>0</v>
      </c>
      <c r="J446" s="55">
        <f>SUMIF('3-Basis ruimtestaat'!J:J,A446,'3-Basis ruimtestaat'!I:I)</f>
        <v>0</v>
      </c>
      <c r="K446" s="66" t="str">
        <f t="shared" si="33"/>
        <v/>
      </c>
      <c r="L446" s="68"/>
      <c r="M446" s="57"/>
      <c r="N446" s="69"/>
      <c r="O446" s="71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</row>
    <row r="447" spans="1:26" ht="17" hidden="1" customHeight="1">
      <c r="A447" s="512">
        <v>28160</v>
      </c>
      <c r="B447" s="72">
        <v>160</v>
      </c>
      <c r="C447" s="115"/>
      <c r="D447" s="63" t="s">
        <v>118</v>
      </c>
      <c r="E447" s="64">
        <f>E450/255*B447</f>
        <v>0</v>
      </c>
      <c r="F447" s="64"/>
      <c r="G447" s="64"/>
      <c r="H447" s="64"/>
      <c r="I447" s="55">
        <f t="shared" si="28"/>
        <v>0</v>
      </c>
      <c r="J447" s="55">
        <f>SUMIF('3-Basis ruimtestaat'!J:J,A447,'3-Basis ruimtestaat'!I:I)</f>
        <v>0</v>
      </c>
      <c r="K447" s="66" t="str">
        <f t="shared" si="33"/>
        <v/>
      </c>
      <c r="L447" s="68"/>
      <c r="M447" s="57"/>
      <c r="N447" s="69"/>
      <c r="O447" s="71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</row>
    <row r="448" spans="1:26" ht="17" hidden="1" customHeight="1">
      <c r="A448" s="512">
        <v>28200</v>
      </c>
      <c r="B448" s="72">
        <v>200</v>
      </c>
      <c r="C448" s="115"/>
      <c r="D448" s="63" t="s">
        <v>119</v>
      </c>
      <c r="E448" s="64">
        <f>E450/255*B448</f>
        <v>0</v>
      </c>
      <c r="F448" s="64"/>
      <c r="G448" s="64"/>
      <c r="H448" s="64"/>
      <c r="I448" s="55">
        <f t="shared" si="28"/>
        <v>0</v>
      </c>
      <c r="J448" s="55">
        <f>SUMIF('3-Basis ruimtestaat'!J:J,A448,'3-Basis ruimtestaat'!I:I)</f>
        <v>0</v>
      </c>
      <c r="K448" s="66" t="str">
        <f t="shared" si="33"/>
        <v/>
      </c>
      <c r="L448" s="68"/>
      <c r="M448" s="57"/>
      <c r="N448" s="69"/>
      <c r="O448" s="71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</row>
    <row r="449" spans="1:26" ht="17" hidden="1" customHeight="1">
      <c r="A449" s="512">
        <v>28208</v>
      </c>
      <c r="B449" s="72">
        <v>208</v>
      </c>
      <c r="C449" s="115"/>
      <c r="D449" s="63" t="s">
        <v>139</v>
      </c>
      <c r="E449" s="64">
        <f>E450/255*B449*1.05</f>
        <v>0</v>
      </c>
      <c r="F449" s="64"/>
      <c r="G449" s="64"/>
      <c r="H449" s="64"/>
      <c r="I449" s="55">
        <f t="shared" si="28"/>
        <v>0</v>
      </c>
      <c r="J449" s="55">
        <f>SUMIF('3-Basis ruimtestaat'!J:J,A449,'3-Basis ruimtestaat'!I:I)</f>
        <v>0</v>
      </c>
      <c r="K449" s="66" t="str">
        <f t="shared" si="33"/>
        <v/>
      </c>
      <c r="L449" s="68"/>
      <c r="M449" s="57"/>
      <c r="N449" s="69"/>
      <c r="O449" s="71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</row>
    <row r="450" spans="1:26" ht="17" hidden="1" customHeight="1">
      <c r="A450" s="512">
        <v>28255</v>
      </c>
      <c r="B450" s="72">
        <v>255</v>
      </c>
      <c r="C450" s="115"/>
      <c r="D450" s="63" t="s">
        <v>124</v>
      </c>
      <c r="E450" s="64">
        <f>O450*$O$9</f>
        <v>0</v>
      </c>
      <c r="F450" s="64"/>
      <c r="G450" s="64"/>
      <c r="H450" s="64"/>
      <c r="I450" s="55">
        <f t="shared" si="28"/>
        <v>0</v>
      </c>
      <c r="J450" s="55">
        <f>SUMIF('3-Basis ruimtestaat'!J:J,A450,'3-Basis ruimtestaat'!I:I)</f>
        <v>0</v>
      </c>
      <c r="K450" s="66" t="str">
        <f t="shared" si="33"/>
        <v/>
      </c>
      <c r="L450" s="68"/>
      <c r="M450" s="57"/>
      <c r="N450" s="69"/>
      <c r="O450" s="84">
        <v>0</v>
      </c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</row>
    <row r="451" spans="1:26" ht="17" hidden="1" customHeight="1" thickBot="1">
      <c r="A451" s="512">
        <v>28365</v>
      </c>
      <c r="B451" s="113">
        <v>365</v>
      </c>
      <c r="C451" s="115"/>
      <c r="D451" s="63" t="s">
        <v>129</v>
      </c>
      <c r="E451" s="64">
        <f>E450</f>
        <v>0</v>
      </c>
      <c r="F451" s="64"/>
      <c r="G451" s="64">
        <f>E451/255*104*0.8</f>
        <v>0</v>
      </c>
      <c r="H451" s="64"/>
      <c r="I451" s="55">
        <f t="shared" si="28"/>
        <v>0</v>
      </c>
      <c r="J451" s="55">
        <f>SUMIF('3-Basis ruimtestaat'!J:J,A451,'3-Basis ruimtestaat'!I:I)</f>
        <v>0</v>
      </c>
      <c r="K451" s="66" t="str">
        <f t="shared" si="33"/>
        <v/>
      </c>
      <c r="L451" s="68"/>
      <c r="M451" s="57"/>
      <c r="N451" s="69"/>
      <c r="O451" s="71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</row>
    <row r="452" spans="1:26" ht="17" hidden="1" customHeight="1">
      <c r="A452" s="512">
        <v>29010</v>
      </c>
      <c r="B452" s="62">
        <v>10</v>
      </c>
      <c r="C452" s="115"/>
      <c r="D452" s="63" t="s">
        <v>107</v>
      </c>
      <c r="E452" s="64">
        <f>E464/255*B452*1.5</f>
        <v>0</v>
      </c>
      <c r="F452" s="64"/>
      <c r="G452" s="64"/>
      <c r="H452" s="64"/>
      <c r="I452" s="55">
        <f t="shared" si="28"/>
        <v>0</v>
      </c>
      <c r="J452" s="55">
        <f>SUMIF('3-Basis ruimtestaat'!J:J,A452,'3-Basis ruimtestaat'!I:I)</f>
        <v>0</v>
      </c>
      <c r="K452" s="66" t="str">
        <f t="shared" si="33"/>
        <v/>
      </c>
      <c r="L452" s="68"/>
      <c r="M452" s="57"/>
      <c r="N452" s="69"/>
      <c r="O452" s="84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</row>
    <row r="453" spans="1:26" ht="17" hidden="1" customHeight="1">
      <c r="A453" s="512">
        <v>29012</v>
      </c>
      <c r="B453" s="72">
        <v>12</v>
      </c>
      <c r="C453" s="115"/>
      <c r="D453" s="63" t="s">
        <v>109</v>
      </c>
      <c r="E453" s="64">
        <f>E464/255*B453*1.5</f>
        <v>0</v>
      </c>
      <c r="F453" s="64"/>
      <c r="G453" s="64"/>
      <c r="H453" s="64"/>
      <c r="I453" s="55">
        <f t="shared" si="28"/>
        <v>0</v>
      </c>
      <c r="J453" s="55">
        <f>SUMIF('3-Basis ruimtestaat'!J:J,A453,'3-Basis ruimtestaat'!I:I)</f>
        <v>0</v>
      </c>
      <c r="K453" s="66" t="str">
        <f t="shared" si="33"/>
        <v/>
      </c>
      <c r="L453" s="68"/>
      <c r="M453" s="57"/>
      <c r="N453" s="69"/>
      <c r="O453" s="71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</row>
    <row r="454" spans="1:26" ht="17" hidden="1" customHeight="1">
      <c r="A454" s="512">
        <v>29040</v>
      </c>
      <c r="B454" s="72">
        <v>40</v>
      </c>
      <c r="C454" s="116"/>
      <c r="D454" s="63" t="s">
        <v>137</v>
      </c>
      <c r="E454" s="64">
        <f>E464/255*B454*1.3</f>
        <v>0</v>
      </c>
      <c r="F454" s="64"/>
      <c r="G454" s="64"/>
      <c r="H454" s="64"/>
      <c r="I454" s="55">
        <f t="shared" si="28"/>
        <v>0</v>
      </c>
      <c r="J454" s="55">
        <f>SUMIF('3-Basis ruimtestaat'!J:J,A454,'3-Basis ruimtestaat'!I:I)</f>
        <v>0</v>
      </c>
      <c r="K454" s="66" t="str">
        <f t="shared" si="33"/>
        <v/>
      </c>
      <c r="L454" s="68"/>
      <c r="M454" s="57"/>
      <c r="N454" s="69"/>
      <c r="O454" s="71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</row>
    <row r="455" spans="1:26" ht="17" hidden="1" customHeight="1">
      <c r="A455" s="512">
        <v>29052</v>
      </c>
      <c r="B455" s="72">
        <v>52</v>
      </c>
      <c r="C455" s="116"/>
      <c r="D455" s="63" t="s">
        <v>111</v>
      </c>
      <c r="E455" s="64">
        <f>E464/255*B455*1.4</f>
        <v>0</v>
      </c>
      <c r="F455" s="64"/>
      <c r="G455" s="64"/>
      <c r="H455" s="64"/>
      <c r="I455" s="55">
        <f t="shared" si="28"/>
        <v>0</v>
      </c>
      <c r="J455" s="55">
        <f>SUMIF('3-Basis ruimtestaat'!J:J,A455,'3-Basis ruimtestaat'!I:I)</f>
        <v>0</v>
      </c>
      <c r="K455" s="66" t="str">
        <f t="shared" si="33"/>
        <v/>
      </c>
      <c r="L455" s="68"/>
      <c r="M455" s="57"/>
      <c r="N455" s="69"/>
      <c r="O455" s="71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</row>
    <row r="456" spans="1:26" ht="17" hidden="1" customHeight="1">
      <c r="A456" s="512">
        <v>29080</v>
      </c>
      <c r="B456" s="72">
        <v>80</v>
      </c>
      <c r="C456" s="116"/>
      <c r="D456" s="63" t="s">
        <v>112</v>
      </c>
      <c r="E456" s="64">
        <f>E464/255*B456*1.2</f>
        <v>0</v>
      </c>
      <c r="F456" s="64"/>
      <c r="G456" s="64"/>
      <c r="H456" s="64"/>
      <c r="I456" s="55">
        <f t="shared" si="28"/>
        <v>0</v>
      </c>
      <c r="J456" s="55">
        <f>SUMIF('3-Basis ruimtestaat'!J:J,A456,'3-Basis ruimtestaat'!I:I)</f>
        <v>0</v>
      </c>
      <c r="K456" s="66" t="str">
        <f t="shared" si="33"/>
        <v/>
      </c>
      <c r="L456" s="68"/>
      <c r="M456" s="57"/>
      <c r="N456" s="69"/>
      <c r="O456" s="71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</row>
    <row r="457" spans="1:26" ht="17" hidden="1" customHeight="1">
      <c r="A457" s="512">
        <v>29104</v>
      </c>
      <c r="B457" s="72">
        <v>104</v>
      </c>
      <c r="C457" s="116"/>
      <c r="D457" s="63" t="s">
        <v>113</v>
      </c>
      <c r="E457" s="64">
        <f>E464/255*B457*1.2</f>
        <v>0</v>
      </c>
      <c r="F457" s="64"/>
      <c r="G457" s="64"/>
      <c r="H457" s="64"/>
      <c r="I457" s="55">
        <f t="shared" si="28"/>
        <v>0</v>
      </c>
      <c r="J457" s="55">
        <f>SUMIF('3-Basis ruimtestaat'!J:J,A457,'3-Basis ruimtestaat'!I:I)</f>
        <v>0</v>
      </c>
      <c r="K457" s="66" t="str">
        <f t="shared" si="33"/>
        <v/>
      </c>
      <c r="L457" s="68"/>
      <c r="M457" s="57"/>
      <c r="N457" s="69"/>
      <c r="O457" s="71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</row>
    <row r="458" spans="1:26" ht="17" hidden="1" customHeight="1">
      <c r="A458" s="512">
        <v>29120</v>
      </c>
      <c r="B458" s="72">
        <v>120</v>
      </c>
      <c r="C458" s="116"/>
      <c r="D458" s="63" t="s">
        <v>114</v>
      </c>
      <c r="E458" s="64">
        <f>E464/255*B458*1.2</f>
        <v>0</v>
      </c>
      <c r="F458" s="64"/>
      <c r="G458" s="64"/>
      <c r="H458" s="64"/>
      <c r="I458" s="55">
        <f t="shared" si="28"/>
        <v>0</v>
      </c>
      <c r="J458" s="55">
        <f>SUMIF('3-Basis ruimtestaat'!J:J,A458,'3-Basis ruimtestaat'!I:I)</f>
        <v>0</v>
      </c>
      <c r="K458" s="66" t="str">
        <f t="shared" si="33"/>
        <v/>
      </c>
      <c r="L458" s="68"/>
      <c r="M458" s="57"/>
      <c r="N458" s="69"/>
      <c r="O458" s="84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</row>
    <row r="459" spans="1:26" ht="17" hidden="1" customHeight="1">
      <c r="A459" s="512">
        <v>29130</v>
      </c>
      <c r="B459" s="72">
        <v>130</v>
      </c>
      <c r="C459" s="116"/>
      <c r="D459" s="63" t="s">
        <v>115</v>
      </c>
      <c r="E459" s="64">
        <f>E464/255*B459*1.1</f>
        <v>0</v>
      </c>
      <c r="F459" s="64"/>
      <c r="G459" s="64"/>
      <c r="H459" s="64"/>
      <c r="I459" s="55">
        <f t="shared" si="28"/>
        <v>0</v>
      </c>
      <c r="J459" s="55">
        <f>SUMIF('3-Basis ruimtestaat'!J:J,A459,'3-Basis ruimtestaat'!I:I)</f>
        <v>0</v>
      </c>
      <c r="K459" s="66" t="str">
        <f t="shared" si="33"/>
        <v/>
      </c>
      <c r="L459" s="68"/>
      <c r="M459" s="57"/>
      <c r="N459" s="69"/>
      <c r="O459" s="84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</row>
    <row r="460" spans="1:26" ht="17" hidden="1" customHeight="1">
      <c r="A460" s="512">
        <v>29156</v>
      </c>
      <c r="B460" s="72">
        <v>156</v>
      </c>
      <c r="C460" s="115"/>
      <c r="D460" s="63" t="s">
        <v>117</v>
      </c>
      <c r="E460" s="64">
        <f>E464/255*B460*1.1</f>
        <v>0</v>
      </c>
      <c r="F460" s="64"/>
      <c r="G460" s="64"/>
      <c r="H460" s="64"/>
      <c r="I460" s="55">
        <f t="shared" si="28"/>
        <v>0</v>
      </c>
      <c r="J460" s="55">
        <f>SUMIF('3-Basis ruimtestaat'!J:J,A460,'3-Basis ruimtestaat'!I:I)</f>
        <v>0</v>
      </c>
      <c r="K460" s="66" t="str">
        <f t="shared" si="33"/>
        <v/>
      </c>
      <c r="L460" s="68"/>
      <c r="M460" s="57"/>
      <c r="N460" s="69"/>
      <c r="O460" s="71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</row>
    <row r="461" spans="1:26" ht="17" hidden="1" customHeight="1">
      <c r="A461" s="512">
        <v>29160</v>
      </c>
      <c r="B461" s="72">
        <v>160</v>
      </c>
      <c r="C461" s="115"/>
      <c r="D461" s="63" t="s">
        <v>118</v>
      </c>
      <c r="E461" s="64">
        <f>E464/255*B461</f>
        <v>0</v>
      </c>
      <c r="F461" s="64"/>
      <c r="G461" s="64"/>
      <c r="H461" s="64"/>
      <c r="I461" s="55">
        <f t="shared" si="28"/>
        <v>0</v>
      </c>
      <c r="J461" s="55">
        <f>SUMIF('3-Basis ruimtestaat'!J:J,A461,'3-Basis ruimtestaat'!I:I)</f>
        <v>0</v>
      </c>
      <c r="K461" s="66" t="str">
        <f t="shared" si="33"/>
        <v/>
      </c>
      <c r="L461" s="68"/>
      <c r="M461" s="57"/>
      <c r="N461" s="69"/>
      <c r="O461" s="84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</row>
    <row r="462" spans="1:26" ht="17" hidden="1" customHeight="1">
      <c r="A462" s="512">
        <v>29200</v>
      </c>
      <c r="B462" s="72">
        <v>200</v>
      </c>
      <c r="C462" s="116"/>
      <c r="D462" s="63" t="s">
        <v>119</v>
      </c>
      <c r="E462" s="64">
        <f>E464/255*B462</f>
        <v>0</v>
      </c>
      <c r="F462" s="64"/>
      <c r="G462" s="64"/>
      <c r="H462" s="64"/>
      <c r="I462" s="55">
        <f t="shared" si="28"/>
        <v>0</v>
      </c>
      <c r="J462" s="55">
        <f>SUMIF('3-Basis ruimtestaat'!J:J,A462,'3-Basis ruimtestaat'!I:I)</f>
        <v>0</v>
      </c>
      <c r="K462" s="66" t="str">
        <f t="shared" si="33"/>
        <v/>
      </c>
      <c r="L462" s="68"/>
      <c r="M462" s="57"/>
      <c r="N462" s="69"/>
      <c r="O462" s="71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</row>
    <row r="463" spans="1:26" ht="17" hidden="1" customHeight="1">
      <c r="A463" s="512">
        <v>29208</v>
      </c>
      <c r="B463" s="72">
        <v>208</v>
      </c>
      <c r="C463" s="116"/>
      <c r="D463" s="63" t="s">
        <v>139</v>
      </c>
      <c r="E463" s="64">
        <f>E464/255*B463*1.05</f>
        <v>0</v>
      </c>
      <c r="F463" s="64"/>
      <c r="G463" s="64"/>
      <c r="H463" s="64"/>
      <c r="I463" s="55">
        <f t="shared" si="28"/>
        <v>0</v>
      </c>
      <c r="J463" s="55">
        <f>SUMIF('3-Basis ruimtestaat'!J:J,A463,'3-Basis ruimtestaat'!I:I)</f>
        <v>0</v>
      </c>
      <c r="K463" s="66" t="str">
        <f t="shared" si="33"/>
        <v/>
      </c>
      <c r="L463" s="68"/>
      <c r="M463" s="57"/>
      <c r="N463" s="69"/>
      <c r="O463" s="84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</row>
    <row r="464" spans="1:26" ht="17" hidden="1" customHeight="1">
      <c r="A464" s="512">
        <v>29255</v>
      </c>
      <c r="B464" s="72">
        <v>255</v>
      </c>
      <c r="C464" s="115"/>
      <c r="D464" s="63" t="s">
        <v>124</v>
      </c>
      <c r="E464" s="64">
        <f>O464*$O$9</f>
        <v>0</v>
      </c>
      <c r="F464" s="64"/>
      <c r="G464" s="64"/>
      <c r="H464" s="64"/>
      <c r="I464" s="55">
        <f t="shared" si="28"/>
        <v>0</v>
      </c>
      <c r="J464" s="55">
        <f>SUMIF('3-Basis ruimtestaat'!J:J,A464,'3-Basis ruimtestaat'!I:I)</f>
        <v>0</v>
      </c>
      <c r="K464" s="66" t="str">
        <f t="shared" si="33"/>
        <v/>
      </c>
      <c r="L464" s="68"/>
      <c r="M464" s="57"/>
      <c r="N464" s="69"/>
      <c r="O464" s="84">
        <v>0</v>
      </c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</row>
    <row r="465" spans="1:26" ht="17" hidden="1" customHeight="1" thickBot="1">
      <c r="A465" s="512">
        <v>29365</v>
      </c>
      <c r="B465" s="113">
        <v>365</v>
      </c>
      <c r="C465" s="115"/>
      <c r="D465" s="63" t="s">
        <v>129</v>
      </c>
      <c r="E465" s="64">
        <f>E464</f>
        <v>0</v>
      </c>
      <c r="F465" s="64"/>
      <c r="G465" s="64">
        <f>E465/255*104*0.8</f>
        <v>0</v>
      </c>
      <c r="H465" s="64"/>
      <c r="I465" s="55">
        <f t="shared" si="28"/>
        <v>0</v>
      </c>
      <c r="J465" s="55">
        <f>SUMIF('3-Basis ruimtestaat'!J:J,A465,'3-Basis ruimtestaat'!I:I)</f>
        <v>0</v>
      </c>
      <c r="K465" s="66" t="str">
        <f t="shared" si="33"/>
        <v/>
      </c>
      <c r="L465" s="68"/>
      <c r="M465" s="57"/>
      <c r="N465" s="69"/>
      <c r="O465" s="71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</row>
    <row r="466" spans="1:26" ht="17" hidden="1" customHeight="1">
      <c r="A466" s="512">
        <v>30010</v>
      </c>
      <c r="B466" s="62">
        <v>10</v>
      </c>
      <c r="C466" s="115"/>
      <c r="D466" s="63" t="s">
        <v>107</v>
      </c>
      <c r="E466" s="64">
        <f>E478/255*B466*1.5</f>
        <v>0</v>
      </c>
      <c r="F466" s="64"/>
      <c r="G466" s="64"/>
      <c r="H466" s="64"/>
      <c r="I466" s="55">
        <f t="shared" si="28"/>
        <v>0</v>
      </c>
      <c r="J466" s="55">
        <f>SUMIF('3-Basis ruimtestaat'!J:J,A466,'3-Basis ruimtestaat'!I:I)</f>
        <v>0</v>
      </c>
      <c r="K466" s="66" t="str">
        <f t="shared" si="33"/>
        <v/>
      </c>
      <c r="L466" s="68"/>
      <c r="M466" s="57"/>
      <c r="N466" s="69"/>
      <c r="O466" s="84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</row>
    <row r="467" spans="1:26" ht="17" hidden="1" customHeight="1">
      <c r="A467" s="512">
        <v>30012</v>
      </c>
      <c r="B467" s="72">
        <v>12</v>
      </c>
      <c r="C467" s="116"/>
      <c r="D467" s="63" t="s">
        <v>109</v>
      </c>
      <c r="E467" s="64">
        <f>E478/255*B467*1.5</f>
        <v>0</v>
      </c>
      <c r="F467" s="64"/>
      <c r="G467" s="64"/>
      <c r="H467" s="64"/>
      <c r="I467" s="55">
        <f t="shared" si="28"/>
        <v>0</v>
      </c>
      <c r="J467" s="55">
        <f>SUMIF('3-Basis ruimtestaat'!J:J,A467,'3-Basis ruimtestaat'!I:I)</f>
        <v>0</v>
      </c>
      <c r="K467" s="66" t="str">
        <f t="shared" si="33"/>
        <v/>
      </c>
      <c r="L467" s="68"/>
      <c r="M467" s="57"/>
      <c r="N467" s="69"/>
      <c r="O467" s="71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</row>
    <row r="468" spans="1:26" ht="17" hidden="1" customHeight="1">
      <c r="A468" s="512">
        <v>30040</v>
      </c>
      <c r="B468" s="72">
        <v>40</v>
      </c>
      <c r="C468" s="116"/>
      <c r="D468" s="63" t="s">
        <v>137</v>
      </c>
      <c r="E468" s="64">
        <f>E478/255*B468*1.3</f>
        <v>0</v>
      </c>
      <c r="F468" s="64"/>
      <c r="G468" s="64"/>
      <c r="H468" s="64"/>
      <c r="I468" s="55">
        <f t="shared" si="28"/>
        <v>0</v>
      </c>
      <c r="J468" s="55">
        <f>SUMIF('3-Basis ruimtestaat'!J:J,A468,'3-Basis ruimtestaat'!I:I)</f>
        <v>0</v>
      </c>
      <c r="K468" s="66" t="str">
        <f t="shared" si="33"/>
        <v/>
      </c>
      <c r="L468" s="68"/>
      <c r="M468" s="57"/>
      <c r="N468" s="69"/>
      <c r="O468" s="71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</row>
    <row r="469" spans="1:26" ht="17" hidden="1" customHeight="1">
      <c r="A469" s="512">
        <v>30052</v>
      </c>
      <c r="B469" s="72">
        <v>52</v>
      </c>
      <c r="C469" s="116"/>
      <c r="D469" s="63" t="s">
        <v>111</v>
      </c>
      <c r="E469" s="64">
        <f>E478/255*B469*1.4</f>
        <v>0</v>
      </c>
      <c r="F469" s="64"/>
      <c r="G469" s="64"/>
      <c r="H469" s="64"/>
      <c r="I469" s="55">
        <f t="shared" si="28"/>
        <v>0</v>
      </c>
      <c r="J469" s="55">
        <f>SUMIF('3-Basis ruimtestaat'!J:J,A469,'3-Basis ruimtestaat'!I:I)</f>
        <v>0</v>
      </c>
      <c r="K469" s="66" t="str">
        <f t="shared" si="33"/>
        <v/>
      </c>
      <c r="L469" s="68"/>
      <c r="M469" s="57"/>
      <c r="N469" s="69"/>
      <c r="O469" s="71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</row>
    <row r="470" spans="1:26" ht="17" hidden="1" customHeight="1">
      <c r="A470" s="512">
        <v>30080</v>
      </c>
      <c r="B470" s="72">
        <v>80</v>
      </c>
      <c r="C470" s="116"/>
      <c r="D470" s="63" t="s">
        <v>112</v>
      </c>
      <c r="E470" s="64">
        <f>E478/255*B470*1.2</f>
        <v>0</v>
      </c>
      <c r="F470" s="64"/>
      <c r="G470" s="64"/>
      <c r="H470" s="64"/>
      <c r="I470" s="55">
        <f t="shared" si="28"/>
        <v>0</v>
      </c>
      <c r="J470" s="55">
        <f>SUMIF('3-Basis ruimtestaat'!J:J,A470,'3-Basis ruimtestaat'!I:I)</f>
        <v>0</v>
      </c>
      <c r="K470" s="66" t="str">
        <f t="shared" si="33"/>
        <v/>
      </c>
      <c r="L470" s="68"/>
      <c r="M470" s="57"/>
      <c r="N470" s="69"/>
      <c r="O470" s="71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</row>
    <row r="471" spans="1:26" ht="17" hidden="1" customHeight="1">
      <c r="A471" s="512">
        <v>30104</v>
      </c>
      <c r="B471" s="72">
        <v>104</v>
      </c>
      <c r="C471" s="116"/>
      <c r="D471" s="63" t="s">
        <v>113</v>
      </c>
      <c r="E471" s="64">
        <f>E478/255*B471*1.2</f>
        <v>0</v>
      </c>
      <c r="F471" s="64"/>
      <c r="G471" s="64"/>
      <c r="H471" s="64"/>
      <c r="I471" s="55">
        <f t="shared" si="28"/>
        <v>0</v>
      </c>
      <c r="J471" s="55">
        <f>SUMIF('3-Basis ruimtestaat'!J:J,A471,'3-Basis ruimtestaat'!I:I)</f>
        <v>0</v>
      </c>
      <c r="K471" s="66" t="str">
        <f t="shared" si="33"/>
        <v/>
      </c>
      <c r="L471" s="68"/>
      <c r="M471" s="57"/>
      <c r="N471" s="69"/>
      <c r="O471" s="84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</row>
    <row r="472" spans="1:26" ht="17" hidden="1" customHeight="1">
      <c r="A472" s="512">
        <v>30120</v>
      </c>
      <c r="B472" s="72">
        <v>120</v>
      </c>
      <c r="C472" s="116"/>
      <c r="D472" s="63" t="s">
        <v>114</v>
      </c>
      <c r="E472" s="64">
        <f>E478/255*B472*1.2</f>
        <v>0</v>
      </c>
      <c r="F472" s="64"/>
      <c r="G472" s="64"/>
      <c r="H472" s="64"/>
      <c r="I472" s="55">
        <f t="shared" si="28"/>
        <v>0</v>
      </c>
      <c r="J472" s="55">
        <f>SUMIF('3-Basis ruimtestaat'!J:J,A472,'3-Basis ruimtestaat'!I:I)</f>
        <v>0</v>
      </c>
      <c r="K472" s="66" t="str">
        <f t="shared" si="33"/>
        <v/>
      </c>
      <c r="L472" s="68"/>
      <c r="M472" s="57"/>
      <c r="N472" s="69"/>
      <c r="O472" s="84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</row>
    <row r="473" spans="1:26" ht="17" hidden="1" customHeight="1">
      <c r="A473" s="512">
        <v>30130</v>
      </c>
      <c r="B473" s="72">
        <v>130</v>
      </c>
      <c r="C473" s="116"/>
      <c r="D473" s="63" t="s">
        <v>115</v>
      </c>
      <c r="E473" s="64">
        <f>E478/255*B473*1.1</f>
        <v>0</v>
      </c>
      <c r="F473" s="64"/>
      <c r="G473" s="64"/>
      <c r="H473" s="64"/>
      <c r="I473" s="55">
        <f t="shared" si="28"/>
        <v>0</v>
      </c>
      <c r="J473" s="55">
        <f>SUMIF('3-Basis ruimtestaat'!J:J,A473,'3-Basis ruimtestaat'!I:I)</f>
        <v>0</v>
      </c>
      <c r="K473" s="66" t="str">
        <f t="shared" si="33"/>
        <v/>
      </c>
      <c r="L473" s="68"/>
      <c r="M473" s="57"/>
      <c r="N473" s="69"/>
      <c r="O473" s="84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</row>
    <row r="474" spans="1:26" ht="17" hidden="1" customHeight="1">
      <c r="A474" s="512">
        <v>30156</v>
      </c>
      <c r="B474" s="72">
        <v>156</v>
      </c>
      <c r="C474" s="115"/>
      <c r="D474" s="63" t="s">
        <v>117</v>
      </c>
      <c r="E474" s="64">
        <f>E478/255*B474*1.1</f>
        <v>0</v>
      </c>
      <c r="F474" s="64"/>
      <c r="G474" s="64"/>
      <c r="H474" s="64"/>
      <c r="I474" s="55">
        <f t="shared" si="28"/>
        <v>0</v>
      </c>
      <c r="J474" s="55">
        <f>SUMIF('3-Basis ruimtestaat'!J:J,A474,'3-Basis ruimtestaat'!I:I)</f>
        <v>0</v>
      </c>
      <c r="K474" s="66" t="str">
        <f t="shared" si="33"/>
        <v/>
      </c>
      <c r="L474" s="68"/>
      <c r="M474" s="57"/>
      <c r="N474" s="69"/>
      <c r="O474" s="71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</row>
    <row r="475" spans="1:26" ht="17" hidden="1" customHeight="1">
      <c r="A475" s="512">
        <v>30160</v>
      </c>
      <c r="B475" s="72">
        <v>160</v>
      </c>
      <c r="C475" s="115"/>
      <c r="D475" s="63" t="s">
        <v>118</v>
      </c>
      <c r="E475" s="64">
        <f>E478/255*B475</f>
        <v>0</v>
      </c>
      <c r="F475" s="64"/>
      <c r="G475" s="64"/>
      <c r="H475" s="64"/>
      <c r="I475" s="55">
        <f t="shared" si="28"/>
        <v>0</v>
      </c>
      <c r="J475" s="55">
        <f>SUMIF('3-Basis ruimtestaat'!J:J,A475,'3-Basis ruimtestaat'!I:I)</f>
        <v>0</v>
      </c>
      <c r="K475" s="66" t="str">
        <f t="shared" si="33"/>
        <v/>
      </c>
      <c r="L475" s="68"/>
      <c r="M475" s="57"/>
      <c r="N475" s="69"/>
      <c r="O475" s="84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</row>
    <row r="476" spans="1:26" ht="17" hidden="1" customHeight="1">
      <c r="A476" s="512">
        <v>30200</v>
      </c>
      <c r="B476" s="72">
        <v>200</v>
      </c>
      <c r="C476" s="115"/>
      <c r="D476" s="63" t="s">
        <v>119</v>
      </c>
      <c r="E476" s="64">
        <f>E478/255*B476</f>
        <v>0</v>
      </c>
      <c r="F476" s="64"/>
      <c r="G476" s="64"/>
      <c r="H476" s="64"/>
      <c r="I476" s="55">
        <f t="shared" si="28"/>
        <v>0</v>
      </c>
      <c r="J476" s="55">
        <f>SUMIF('3-Basis ruimtestaat'!J:J,A476,'3-Basis ruimtestaat'!I:I)</f>
        <v>0</v>
      </c>
      <c r="K476" s="66" t="str">
        <f t="shared" si="33"/>
        <v/>
      </c>
      <c r="L476" s="68"/>
      <c r="M476" s="57"/>
      <c r="N476" s="69"/>
      <c r="O476" s="84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</row>
    <row r="477" spans="1:26" ht="17" hidden="1" customHeight="1">
      <c r="A477" s="512">
        <v>30208</v>
      </c>
      <c r="B477" s="72">
        <v>208</v>
      </c>
      <c r="C477" s="116"/>
      <c r="D477" s="63" t="s">
        <v>139</v>
      </c>
      <c r="E477" s="64">
        <f>E478/255*B477*1.05</f>
        <v>0</v>
      </c>
      <c r="F477" s="64"/>
      <c r="G477" s="64"/>
      <c r="H477" s="64"/>
      <c r="I477" s="55">
        <f t="shared" si="28"/>
        <v>0</v>
      </c>
      <c r="J477" s="55">
        <f>SUMIF('3-Basis ruimtestaat'!J:J,A477,'3-Basis ruimtestaat'!I:I)</f>
        <v>0</v>
      </c>
      <c r="K477" s="66" t="str">
        <f t="shared" si="33"/>
        <v/>
      </c>
      <c r="L477" s="68"/>
      <c r="M477" s="57"/>
      <c r="N477" s="69"/>
      <c r="O477" s="71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</row>
    <row r="478" spans="1:26" ht="17" hidden="1" customHeight="1">
      <c r="A478" s="512">
        <v>30255</v>
      </c>
      <c r="B478" s="72">
        <v>255</v>
      </c>
      <c r="C478" s="116"/>
      <c r="D478" s="63" t="s">
        <v>124</v>
      </c>
      <c r="E478" s="64">
        <f>O478*$O$9</f>
        <v>0</v>
      </c>
      <c r="F478" s="64"/>
      <c r="G478" s="64"/>
      <c r="H478" s="64"/>
      <c r="I478" s="55">
        <f t="shared" si="28"/>
        <v>0</v>
      </c>
      <c r="J478" s="55">
        <f>SUMIF('3-Basis ruimtestaat'!J:J,A478,'3-Basis ruimtestaat'!I:I)</f>
        <v>0</v>
      </c>
      <c r="K478" s="66" t="str">
        <f t="shared" si="33"/>
        <v/>
      </c>
      <c r="L478" s="68"/>
      <c r="M478" s="57"/>
      <c r="N478" s="69"/>
      <c r="O478" s="84">
        <v>0</v>
      </c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</row>
    <row r="479" spans="1:26" ht="17" hidden="1" customHeight="1" thickBot="1">
      <c r="A479" s="512">
        <v>30365</v>
      </c>
      <c r="B479" s="93">
        <v>365</v>
      </c>
      <c r="C479" s="116"/>
      <c r="D479" s="63" t="s">
        <v>129</v>
      </c>
      <c r="E479" s="64">
        <f>E478</f>
        <v>0</v>
      </c>
      <c r="F479" s="64"/>
      <c r="G479" s="64">
        <f>E479/255*104*0.8</f>
        <v>0</v>
      </c>
      <c r="H479" s="64"/>
      <c r="I479" s="55">
        <f t="shared" si="28"/>
        <v>0</v>
      </c>
      <c r="J479" s="55">
        <f>SUMIF('3-Basis ruimtestaat'!J:J,A479,'3-Basis ruimtestaat'!I:I)</f>
        <v>0</v>
      </c>
      <c r="K479" s="66" t="str">
        <f t="shared" si="33"/>
        <v/>
      </c>
      <c r="L479" s="68"/>
      <c r="M479" s="57"/>
      <c r="N479" s="69"/>
      <c r="O479" s="71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</row>
    <row r="480" spans="1:26" ht="17" customHeight="1">
      <c r="A480" s="512" t="s">
        <v>161</v>
      </c>
      <c r="B480" s="180">
        <v>0</v>
      </c>
      <c r="C480" s="206" t="s">
        <v>162</v>
      </c>
      <c r="D480" s="63"/>
      <c r="E480" s="155"/>
      <c r="F480" s="117"/>
      <c r="G480" s="117"/>
      <c r="H480" s="64"/>
      <c r="I480" s="55">
        <f t="shared" si="28"/>
        <v>0</v>
      </c>
      <c r="J480" s="55">
        <f>SUMIF('3-Basis ruimtestaat'!J:J,A480,'3-Basis ruimtestaat'!I:I)</f>
        <v>2965.9899999999971</v>
      </c>
      <c r="K480" s="66">
        <f t="shared" si="33"/>
        <v>0.2220864606621851</v>
      </c>
      <c r="L480" s="68"/>
      <c r="M480" s="57" t="s">
        <v>161</v>
      </c>
      <c r="N480" s="69"/>
      <c r="O480" s="71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</row>
    <row r="481" spans="1:26" ht="17" hidden="1" customHeight="1" thickBot="1">
      <c r="A481" s="512" t="s">
        <v>163</v>
      </c>
      <c r="B481" s="181">
        <v>0</v>
      </c>
      <c r="C481" s="206" t="s">
        <v>163</v>
      </c>
      <c r="D481" s="63"/>
      <c r="E481" s="155"/>
      <c r="F481" s="117"/>
      <c r="G481" s="117"/>
      <c r="H481" s="64"/>
      <c r="I481" s="55">
        <f t="shared" si="28"/>
        <v>0</v>
      </c>
      <c r="J481" s="55">
        <f>SUMIF('3-Basis ruimtestaat'!J:J,A481,'3-Basis ruimtestaat'!I:I)</f>
        <v>0</v>
      </c>
      <c r="K481" s="66" t="str">
        <f t="shared" si="33"/>
        <v/>
      </c>
      <c r="L481" s="68"/>
      <c r="M481" s="57"/>
      <c r="N481" s="69"/>
      <c r="O481" s="71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</row>
    <row r="482" spans="1:26" ht="17" customHeight="1">
      <c r="A482" s="9"/>
      <c r="B482" s="1"/>
      <c r="C482" s="2"/>
      <c r="D482" s="8"/>
      <c r="E482" s="3"/>
      <c r="F482" s="3"/>
      <c r="G482" s="3"/>
      <c r="H482" s="3"/>
      <c r="I482" s="4"/>
      <c r="J482" s="183">
        <f t="shared" ref="J482:K482" si="34">SUM(J10:J481)</f>
        <v>13355.113999999998</v>
      </c>
      <c r="K482" s="182">
        <f t="shared" si="34"/>
        <v>0.99999999999999989</v>
      </c>
      <c r="L482" s="8"/>
      <c r="M482" s="9"/>
      <c r="N482" s="7"/>
      <c r="O482" s="9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7" customHeight="1">
      <c r="A483" s="9"/>
      <c r="B483" s="1"/>
      <c r="C483" s="2"/>
      <c r="D483" s="8"/>
      <c r="E483" s="3"/>
      <c r="F483" s="3"/>
      <c r="G483" s="3"/>
      <c r="H483" s="3"/>
      <c r="I483" s="4"/>
      <c r="J483" s="4"/>
      <c r="K483" s="118"/>
      <c r="L483" s="8"/>
      <c r="M483" s="9"/>
      <c r="N483" s="7"/>
      <c r="O483" s="9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7" customHeight="1">
      <c r="A484" s="7"/>
      <c r="B484" s="7"/>
      <c r="C484" s="7"/>
      <c r="D484" s="8"/>
      <c r="E484" s="7"/>
      <c r="F484" s="7"/>
      <c r="G484" s="7"/>
      <c r="H484" s="7"/>
      <c r="I484" s="7"/>
      <c r="J484" s="156"/>
      <c r="K484" s="10"/>
      <c r="L484" s="118"/>
      <c r="M484" s="7"/>
      <c r="N484" s="7"/>
      <c r="O484" s="9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7" customHeight="1">
      <c r="A485" s="157" t="s">
        <v>164</v>
      </c>
      <c r="B485" s="7"/>
      <c r="C485" s="7"/>
      <c r="D485" s="8"/>
      <c r="E485" s="7"/>
      <c r="F485" s="7"/>
      <c r="G485" s="7"/>
      <c r="H485" s="7"/>
      <c r="I485" s="7"/>
      <c r="J485" s="7"/>
      <c r="K485" s="10"/>
      <c r="L485" s="118"/>
      <c r="M485" s="7"/>
      <c r="N485" s="7"/>
      <c r="O485" s="9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7" customHeight="1">
      <c r="A486" s="7" t="s">
        <v>165</v>
      </c>
      <c r="B486" s="7" t="s">
        <v>166</v>
      </c>
      <c r="C486" s="7"/>
      <c r="D486" s="8"/>
      <c r="E486" s="7"/>
      <c r="F486" s="7"/>
      <c r="G486" s="7"/>
      <c r="H486" s="7"/>
      <c r="I486" s="7"/>
      <c r="J486" s="7"/>
      <c r="K486" s="10"/>
      <c r="L486" s="7"/>
      <c r="M486" s="7"/>
      <c r="N486" s="7"/>
      <c r="O486" s="9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7" customHeight="1">
      <c r="A487" s="7" t="s">
        <v>167</v>
      </c>
      <c r="B487" s="7" t="s">
        <v>168</v>
      </c>
      <c r="C487" s="7"/>
      <c r="D487" s="8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9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7" customHeight="1">
      <c r="A488" s="7" t="s">
        <v>169</v>
      </c>
      <c r="B488" s="7" t="s">
        <v>170</v>
      </c>
      <c r="C488" s="7"/>
      <c r="D488" s="8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9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7" customHeight="1">
      <c r="A489" s="7" t="s">
        <v>171</v>
      </c>
      <c r="B489" s="7" t="s">
        <v>172</v>
      </c>
      <c r="C489" s="7"/>
      <c r="D489" s="8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9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7" customHeight="1">
      <c r="A490" s="7" t="s">
        <v>173</v>
      </c>
      <c r="B490" s="7" t="s">
        <v>174</v>
      </c>
      <c r="C490" s="7"/>
      <c r="D490" s="8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9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7" customHeight="1">
      <c r="A491" s="7" t="s">
        <v>175</v>
      </c>
      <c r="B491" s="7" t="s">
        <v>176</v>
      </c>
      <c r="C491" s="7"/>
      <c r="D491" s="8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9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7" customHeight="1">
      <c r="A492" s="7" t="s">
        <v>177</v>
      </c>
      <c r="B492" s="7" t="s">
        <v>178</v>
      </c>
      <c r="C492" s="7"/>
      <c r="D492" s="8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9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7" customHeight="1">
      <c r="A493" s="7"/>
      <c r="B493" s="7"/>
      <c r="C493" s="7"/>
      <c r="D493" s="8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9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7" customHeight="1">
      <c r="A494" s="7"/>
      <c r="B494" s="7"/>
      <c r="C494" s="7"/>
      <c r="D494" s="8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9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7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9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7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9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7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9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7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9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7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9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7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9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7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9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7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9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7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9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7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9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7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9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7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9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7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9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7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9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7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9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7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9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7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9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7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9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7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9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7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9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7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9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7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9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7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9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7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9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7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9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7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9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7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9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7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9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7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9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7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9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7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9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7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9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7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9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7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9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7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9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7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9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7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9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7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9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7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9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7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9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7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9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7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9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7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9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7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9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7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9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7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9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7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9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7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9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7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9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7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9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7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9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7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9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7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9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7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9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7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9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7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9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7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9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7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9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7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9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7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9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7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9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7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9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7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9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7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9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7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9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7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9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7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9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7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9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7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9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7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9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7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9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7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9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7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9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7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9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7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9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7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9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7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9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7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9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7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9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7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9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7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9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7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9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7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9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7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9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7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9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7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9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7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9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7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9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7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9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7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9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7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9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7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9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7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9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7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9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7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9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7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9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7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9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7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9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7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9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7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9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7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9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7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9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7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9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7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9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7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9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7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9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7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9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7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9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7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9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7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9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7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9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7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9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7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9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7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9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7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9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7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9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7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9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7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9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7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9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7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9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7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9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7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9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7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9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7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9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7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9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7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9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7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9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7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9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7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9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7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9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7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9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7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9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7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9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7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9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7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9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7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9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7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9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7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9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7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9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7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9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7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9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7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9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7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9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7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9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7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9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7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9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7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9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7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9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7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9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7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9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7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9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7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9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7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9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7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9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7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9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7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9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7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9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7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9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7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9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7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9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7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9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7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9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7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9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7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9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7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9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7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9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7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9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7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9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7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9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7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9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7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9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7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9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7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9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7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9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7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9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7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9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7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9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7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9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7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9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7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9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7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9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7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9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7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9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7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9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7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9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7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9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7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9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7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9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7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9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7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9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7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9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7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9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7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9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7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9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7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9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7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9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7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9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7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9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7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9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7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9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7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9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7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9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7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9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7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9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7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9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7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9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7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9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7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9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7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9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7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9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7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9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7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9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7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9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7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9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7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9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7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9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7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9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7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9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7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9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7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9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7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9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7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9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7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9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7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9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7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9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7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9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7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9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7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9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7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9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7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9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7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9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7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9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7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9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7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9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7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9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7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9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7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9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7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9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7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9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7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9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7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9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7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9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7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9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7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9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7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9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7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9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7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9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7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9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7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9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7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9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7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9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7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9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7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9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7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9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7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9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7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9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7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9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7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9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7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9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7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9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7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9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7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9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7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9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7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9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7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9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7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9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7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9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7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9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7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9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7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9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7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9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7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9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7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9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7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9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7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9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7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9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7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9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7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9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7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9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7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9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7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9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7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9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7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9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7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9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7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9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7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9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7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9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7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9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7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9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7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9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7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9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7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9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7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9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7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9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7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9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7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9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7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9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7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9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7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9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7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9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7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9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7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9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7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9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7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9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7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9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7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9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7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9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7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9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7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9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7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9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7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9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7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9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7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9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7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9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7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9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7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9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7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9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7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9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7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9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7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9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7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9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7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9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7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9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7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9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7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9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7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9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7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9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7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9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7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9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7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9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7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9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7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9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7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9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7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9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7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9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7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9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7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9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7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9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7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9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7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9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7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9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7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9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7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9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7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9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7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9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7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9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7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9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7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9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7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9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7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9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7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9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7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9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7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9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7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9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7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9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7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9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7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9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7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9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7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9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7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9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7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9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7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9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7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9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7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9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7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9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7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9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7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9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7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9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7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9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7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9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7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9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7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9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7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9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7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9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7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9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7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9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7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9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7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9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7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9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7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9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7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9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7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9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7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9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7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9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7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9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7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9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7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9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7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9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7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9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7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9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7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9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7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9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7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9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7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9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7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9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7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9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7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9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7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9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7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9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7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9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7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9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7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9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7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9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7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9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7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9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7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9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7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9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7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9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7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9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7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9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7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9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7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9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7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9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7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9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7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9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7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9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7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9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7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9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7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9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7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9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7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9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7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9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7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9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7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9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7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9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7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9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7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9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7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9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7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9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7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9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7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9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7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9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7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9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7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9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7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9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7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9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7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9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7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9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7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9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7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9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7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9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7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9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7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9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7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9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7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9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7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9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7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9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7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9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7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9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7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9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7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9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7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9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7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9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7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9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7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9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7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9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7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9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7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9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7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9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7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9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7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9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7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9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7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9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7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9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7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9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7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9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7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9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7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9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7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9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7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9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7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9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7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9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7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9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7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9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7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9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7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9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7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9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7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9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7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9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7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9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7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9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7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9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7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9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7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9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7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9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7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9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7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9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7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9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7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9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7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9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7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9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7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9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7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9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7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9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7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9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7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9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7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9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7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9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7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9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7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9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7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9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7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9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7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9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7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9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7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9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7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9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7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9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7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9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7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9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17" customHeight="1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9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ht="17" customHeight="1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9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ht="17" customHeight="1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9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ht="17" customHeight="1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9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ht="17" customHeight="1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9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ht="17" customHeight="1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9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ht="17" customHeight="1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9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ht="17" customHeight="1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9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ht="17" customHeight="1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9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ht="17" customHeight="1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9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ht="17" customHeight="1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9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ht="17" customHeight="1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9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ht="17" customHeight="1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9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ht="17" customHeight="1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9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ht="17" customHeight="1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9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ht="17" customHeight="1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9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spans="1:26" ht="17" customHeight="1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9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spans="1:26" ht="17" customHeight="1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9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spans="1:26" ht="17" customHeight="1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9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spans="1:26" ht="17" customHeight="1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9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spans="1:26" ht="17" customHeight="1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9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spans="1:26" ht="17" customHeight="1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9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spans="1:26" ht="17" customHeight="1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9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spans="1:26" ht="17" customHeight="1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9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spans="1:26" ht="17" customHeight="1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9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spans="1:26" ht="17" customHeight="1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9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spans="1:26" ht="17" customHeight="1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9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spans="1:26" ht="17" customHeight="1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9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spans="1:26" ht="17" customHeight="1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9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spans="1:26" ht="17" customHeight="1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9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spans="1:26" ht="17" customHeight="1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9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spans="1:26" ht="17" customHeight="1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9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spans="1:26" ht="17" customHeight="1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9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  <row r="1037" spans="1:26" ht="17" customHeight="1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9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</row>
    <row r="1038" spans="1:26" ht="17" customHeight="1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9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</row>
    <row r="1039" spans="1:26" ht="17" customHeight="1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9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</row>
    <row r="1040" spans="1:26" ht="17" customHeight="1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9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</row>
    <row r="1041" spans="1:26" ht="17" customHeight="1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9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</row>
    <row r="1042" spans="1:26" ht="17" customHeight="1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9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</row>
    <row r="1043" spans="1:26" ht="17" customHeight="1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9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</row>
    <row r="1044" spans="1:26" ht="17" customHeight="1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9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</row>
    <row r="1045" spans="1:26" ht="17" customHeight="1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9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</row>
    <row r="1046" spans="1:26" ht="17" customHeight="1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9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</row>
    <row r="1047" spans="1:26" ht="17" customHeight="1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9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</row>
  </sheetData>
  <sheetProtection algorithmName="SHA-512" hashValue="Osn127jwkABOccQMG0Z7SEvZnW/60UvuZfso6JESsSAOX6YOu4zd/M4tvklKfcGg0kGofJ3uretLTqjJWk/FsA==" saltValue="COvUfpyt6s6NhqviLeJVcA==" spinCount="100000" sheet="1" objects="1" scenarios="1"/>
  <autoFilter ref="A8:O481" xr:uid="{00000000-0009-0000-0000-000002000000}">
    <filterColumn colId="9">
      <filters blank="1">
        <filter val="1.739"/>
        <filter val="10"/>
        <filter val="12"/>
        <filter val="15"/>
        <filter val="16"/>
        <filter val="17"/>
        <filter val="18"/>
        <filter val="182"/>
        <filter val="184"/>
        <filter val="19"/>
        <filter val="2.966"/>
        <filter val="200"/>
        <filter val="213"/>
        <filter val="215"/>
        <filter val="23"/>
        <filter val="255"/>
        <filter val="299"/>
        <filter val="3"/>
        <filter val="3.095"/>
        <filter val="368"/>
        <filter val="38"/>
        <filter val="382"/>
        <filter val="393"/>
        <filter val="4"/>
        <filter val="487"/>
        <filter val="595"/>
        <filter val="6"/>
        <filter val="72"/>
        <filter val="76"/>
        <filter val="77"/>
        <filter val="81"/>
        <filter val="9"/>
        <filter val="977"/>
        <filter val="98"/>
      </filters>
    </filterColumn>
  </autoFilter>
  <sortState xmlns:xlrd2="http://schemas.microsoft.com/office/spreadsheetml/2017/richdata2" ref="A28:Z50">
    <sortCondition ref="A28:A50"/>
  </sortState>
  <pageMargins left="0.59055118110236227" right="0.59055118110236227" top="0.59055118110236227" bottom="0.78740157480314965" header="0" footer="0"/>
  <pageSetup paperSize="9" scale="47" orientation="portrait"/>
  <headerFoot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A7EE-A7D2-3F48-B8C9-62BA26EB5344}">
  <dimension ref="A3:A22"/>
  <sheetViews>
    <sheetView workbookViewId="0">
      <selection activeCell="E24" sqref="E24"/>
    </sheetView>
  </sheetViews>
  <sheetFormatPr baseColWidth="10" defaultColWidth="11.5" defaultRowHeight="14"/>
  <cols>
    <col min="1" max="1" width="30.5" bestFit="1" customWidth="1"/>
  </cols>
  <sheetData>
    <row r="3" spans="1:1">
      <c r="A3" s="613" t="s">
        <v>179</v>
      </c>
    </row>
    <row r="4" spans="1:1">
      <c r="A4" s="217" t="s">
        <v>180</v>
      </c>
    </row>
    <row r="5" spans="1:1">
      <c r="A5" s="217" t="s">
        <v>57</v>
      </c>
    </row>
    <row r="6" spans="1:1">
      <c r="A6" s="217" t="s">
        <v>181</v>
      </c>
    </row>
    <row r="7" spans="1:1">
      <c r="A7" s="217" t="s">
        <v>182</v>
      </c>
    </row>
    <row r="8" spans="1:1">
      <c r="A8" s="217" t="s">
        <v>183</v>
      </c>
    </row>
    <row r="9" spans="1:1">
      <c r="A9" s="217" t="s">
        <v>184</v>
      </c>
    </row>
    <row r="10" spans="1:1">
      <c r="A10" s="217" t="s">
        <v>185</v>
      </c>
    </row>
    <row r="11" spans="1:1">
      <c r="A11" s="217" t="s">
        <v>186</v>
      </c>
    </row>
    <row r="12" spans="1:1">
      <c r="A12" s="217" t="s">
        <v>187</v>
      </c>
    </row>
    <row r="13" spans="1:1">
      <c r="A13" s="217" t="s">
        <v>188</v>
      </c>
    </row>
    <row r="14" spans="1:1">
      <c r="A14" s="217" t="s">
        <v>189</v>
      </c>
    </row>
    <row r="15" spans="1:1">
      <c r="A15" s="217" t="s">
        <v>190</v>
      </c>
    </row>
    <row r="16" spans="1:1">
      <c r="A16" s="217" t="s">
        <v>191</v>
      </c>
    </row>
    <row r="17" spans="1:1">
      <c r="A17" s="217" t="s">
        <v>192</v>
      </c>
    </row>
    <row r="18" spans="1:1">
      <c r="A18" s="217" t="s">
        <v>193</v>
      </c>
    </row>
    <row r="19" spans="1:1">
      <c r="A19" s="217" t="s">
        <v>194</v>
      </c>
    </row>
    <row r="20" spans="1:1">
      <c r="A20" s="217" t="s">
        <v>195</v>
      </c>
    </row>
    <row r="21" spans="1:1">
      <c r="A21" s="217" t="s">
        <v>196</v>
      </c>
    </row>
    <row r="22" spans="1:1">
      <c r="A22" s="217" t="s">
        <v>197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89D9E-FA25-3342-AFEB-ADC2340969FF}">
  <sheetPr>
    <tabColor theme="0" tint="-0.14999847407452621"/>
  </sheetPr>
  <dimension ref="A1:H82"/>
  <sheetViews>
    <sheetView showGridLines="0" showZeros="0" showOutlineSymbols="0" zoomScaleNormal="100" zoomScaleSheetLayoutView="100" workbookViewId="0">
      <pane ySplit="9" topLeftCell="A30" activePane="bottomLeft" state="frozen"/>
      <selection activeCell="B4" sqref="B4"/>
      <selection pane="bottomLeft" activeCell="K18" sqref="K18"/>
    </sheetView>
  </sheetViews>
  <sheetFormatPr baseColWidth="10" defaultColWidth="9.33203125" defaultRowHeight="25" customHeight="1"/>
  <cols>
    <col min="1" max="1" width="45" style="231" customWidth="1"/>
    <col min="2" max="2" width="18.6640625" style="231" customWidth="1"/>
    <col min="3" max="3" width="20.5" style="231" customWidth="1"/>
    <col min="4" max="4" width="5.1640625" style="231" customWidth="1"/>
    <col min="5" max="5" width="45" style="231" customWidth="1"/>
    <col min="6" max="6" width="18.6640625" style="231" customWidth="1"/>
    <col min="7" max="7" width="18.1640625" style="231" customWidth="1"/>
    <col min="8" max="8" width="7.6640625" style="231" customWidth="1"/>
    <col min="9" max="16384" width="9.33203125" style="231"/>
  </cols>
  <sheetData>
    <row r="1" spans="1:8" ht="25" customHeight="1">
      <c r="A1" s="621"/>
      <c r="B1" s="409"/>
      <c r="C1" s="232"/>
      <c r="D1" s="232"/>
      <c r="E1" s="232"/>
      <c r="F1" s="232"/>
      <c r="G1" s="232"/>
    </row>
    <row r="2" spans="1:8" ht="25" customHeight="1">
      <c r="A2" s="232"/>
      <c r="B2" s="232"/>
      <c r="C2" s="232"/>
      <c r="D2" s="232"/>
      <c r="E2" s="232"/>
      <c r="F2" s="232"/>
      <c r="G2" s="232"/>
    </row>
    <row r="3" spans="1:8" ht="25" customHeight="1">
      <c r="A3" s="629" t="str">
        <f>'1-Contractblad dag'!A3</f>
        <v>Naam opdrachtgever</v>
      </c>
      <c r="B3" s="630" t="str">
        <f>'1-Contractblad dag'!B3</f>
        <v>Gemeente Fryske Marren</v>
      </c>
      <c r="C3" s="232"/>
      <c r="D3" s="232"/>
      <c r="E3" s="238"/>
      <c r="F3" s="232"/>
      <c r="G3" s="232"/>
    </row>
    <row r="4" spans="1:8" ht="25" customHeight="1">
      <c r="A4" s="629" t="str">
        <f>'1-Contractblad dag'!A4</f>
        <v>Calculatie onderdeel</v>
      </c>
      <c r="B4" s="630" t="str">
        <f>'1-Contractblad dag'!B4</f>
        <v>Contractblad jaarprijs Totaal</v>
      </c>
      <c r="C4" s="437"/>
      <c r="E4" s="232"/>
      <c r="F4" s="232"/>
      <c r="G4" s="232"/>
    </row>
    <row r="5" spans="1:8" ht="25" customHeight="1">
      <c r="A5" s="629" t="str">
        <f>'1-Contractblad dag'!A5</f>
        <v>Gebouw/plaats</v>
      </c>
      <c r="B5" s="630" t="str">
        <f>'1-Contractblad dag'!B5</f>
        <v>Totaal</v>
      </c>
      <c r="C5" s="631"/>
      <c r="D5" s="233"/>
      <c r="E5" s="234"/>
      <c r="F5" s="235"/>
      <c r="G5" s="232"/>
    </row>
    <row r="6" spans="1:8" ht="25" customHeight="1">
      <c r="A6" s="629" t="str">
        <f>'1-Contractblad dag'!A6</f>
        <v>Besteknummer</v>
      </c>
      <c r="B6" s="630" t="str">
        <f>'1-Contractblad dag'!B6</f>
        <v>Calculatie-GFM -2026.01 (prijspeil 1-1-2027)</v>
      </c>
      <c r="C6" s="438"/>
      <c r="D6" s="233"/>
      <c r="E6" s="236"/>
      <c r="F6" s="237"/>
      <c r="G6" s="238"/>
      <c r="H6" s="439"/>
    </row>
    <row r="7" spans="1:8" ht="25" customHeight="1">
      <c r="A7" s="629" t="str">
        <f>'1-Contractblad dag'!A7</f>
        <v>Naam leverancier</v>
      </c>
      <c r="B7" s="630" t="str">
        <f>'1-Contractblad dag'!B7</f>
        <v>Vaste calculatie</v>
      </c>
      <c r="C7" s="438"/>
      <c r="D7" s="233"/>
      <c r="E7" s="234"/>
      <c r="F7" s="235"/>
      <c r="G7" s="232"/>
    </row>
    <row r="8" spans="1:8" ht="25" customHeight="1">
      <c r="A8" s="629" t="str">
        <f>'1-Contractblad dag'!A8</f>
        <v>Prijspeil</v>
      </c>
      <c r="B8" s="632">
        <f>'1-Contractblad dag'!B8</f>
        <v>46388</v>
      </c>
      <c r="C8" s="234"/>
      <c r="D8" s="234"/>
      <c r="E8" s="234"/>
      <c r="F8" s="235"/>
      <c r="G8" s="232"/>
    </row>
    <row r="9" spans="1:8" ht="25" customHeight="1">
      <c r="A9" s="629" t="str">
        <f>'1-Contractblad dag'!A9</f>
        <v>Bijzonderheden</v>
      </c>
      <c r="B9" s="234" t="s">
        <v>198</v>
      </c>
      <c r="C9" s="234"/>
      <c r="D9" s="234"/>
      <c r="E9" s="234"/>
      <c r="F9" s="235"/>
      <c r="G9" s="232"/>
    </row>
    <row r="10" spans="1:8" ht="25" customHeight="1">
      <c r="A10" s="631"/>
      <c r="B10" s="234"/>
      <c r="C10" s="234"/>
      <c r="D10" s="234"/>
      <c r="E10" s="234"/>
      <c r="F10" s="235"/>
      <c r="G10" s="232"/>
    </row>
    <row r="11" spans="1:8" ht="30" customHeight="1">
      <c r="A11" s="633" t="s">
        <v>199</v>
      </c>
      <c r="B11" s="440"/>
      <c r="C11" s="441"/>
      <c r="D11" s="234"/>
      <c r="E11" s="633" t="s">
        <v>200</v>
      </c>
      <c r="F11" s="440"/>
      <c r="G11" s="441"/>
    </row>
    <row r="12" spans="1:8" ht="25" customHeight="1">
      <c r="A12" s="442"/>
      <c r="B12" s="443"/>
      <c r="C12" s="443"/>
      <c r="D12" s="234"/>
      <c r="E12" s="442"/>
      <c r="F12" s="443"/>
      <c r="G12" s="443"/>
    </row>
    <row r="13" spans="1:8" ht="25" customHeight="1">
      <c r="A13" s="444"/>
      <c r="B13" s="445"/>
      <c r="C13" s="446" t="s">
        <v>201</v>
      </c>
      <c r="D13" s="234"/>
      <c r="E13" s="444"/>
      <c r="F13" s="445"/>
      <c r="G13" s="446" t="s">
        <v>201</v>
      </c>
    </row>
    <row r="14" spans="1:8" ht="25" customHeight="1">
      <c r="A14" s="447" t="s">
        <v>202</v>
      </c>
      <c r="B14" s="445"/>
      <c r="C14" s="622">
        <v>7.2499999999999995E-2</v>
      </c>
      <c r="D14" s="234" t="s">
        <v>203</v>
      </c>
      <c r="E14" s="447" t="s">
        <v>202</v>
      </c>
      <c r="F14" s="445"/>
      <c r="G14" s="622">
        <f>C14</f>
        <v>7.2499999999999995E-2</v>
      </c>
    </row>
    <row r="15" spans="1:8" ht="25" customHeight="1">
      <c r="A15" s="447" t="s">
        <v>204</v>
      </c>
      <c r="B15" s="445"/>
      <c r="C15" s="622">
        <v>2.8400000000000002E-2</v>
      </c>
      <c r="D15" s="234" t="s">
        <v>203</v>
      </c>
      <c r="E15" s="447" t="s">
        <v>204</v>
      </c>
      <c r="F15" s="445"/>
      <c r="G15" s="622">
        <f>C15</f>
        <v>2.8400000000000002E-2</v>
      </c>
    </row>
    <row r="16" spans="1:8" ht="25" customHeight="1">
      <c r="A16" s="447" t="s">
        <v>205</v>
      </c>
      <c r="B16" s="445"/>
      <c r="C16" s="622">
        <v>1.3599999999999999E-2</v>
      </c>
      <c r="D16" s="234" t="s">
        <v>203</v>
      </c>
      <c r="E16" s="447" t="s">
        <v>205</v>
      </c>
      <c r="F16" s="445"/>
      <c r="G16" s="622">
        <f>C16</f>
        <v>1.3599999999999999E-2</v>
      </c>
    </row>
    <row r="17" spans="1:7" ht="25" customHeight="1">
      <c r="A17" s="448" t="s">
        <v>5</v>
      </c>
      <c r="B17" s="449"/>
      <c r="C17" s="623">
        <f>SUM(C14:C16)</f>
        <v>0.11449999999999999</v>
      </c>
      <c r="D17" s="234"/>
      <c r="E17" s="448" t="s">
        <v>5</v>
      </c>
      <c r="F17" s="449"/>
      <c r="G17" s="623">
        <f>SUM(G14:G16)</f>
        <v>0.11449999999999999</v>
      </c>
    </row>
    <row r="18" spans="1:7" ht="25" customHeight="1">
      <c r="A18" s="448"/>
      <c r="B18" s="449"/>
      <c r="C18" s="624"/>
      <c r="D18" s="234"/>
      <c r="E18" s="448"/>
      <c r="F18" s="449"/>
      <c r="G18" s="624"/>
    </row>
    <row r="19" spans="1:7" ht="25" customHeight="1">
      <c r="A19" s="694" t="s">
        <v>206</v>
      </c>
      <c r="B19" s="695"/>
      <c r="C19" s="622">
        <v>3.8899999999999997E-2</v>
      </c>
      <c r="D19" s="234" t="s">
        <v>203</v>
      </c>
      <c r="E19" s="694" t="s">
        <v>206</v>
      </c>
      <c r="F19" s="695"/>
      <c r="G19" s="622">
        <f>C19</f>
        <v>3.8899999999999997E-2</v>
      </c>
    </row>
    <row r="20" spans="1:7" ht="25" customHeight="1">
      <c r="A20" s="447" t="s">
        <v>207</v>
      </c>
      <c r="B20" s="450"/>
      <c r="C20" s="622">
        <v>2.7900000000000001E-2</v>
      </c>
      <c r="D20" s="234" t="s">
        <v>203</v>
      </c>
      <c r="E20" s="447" t="s">
        <v>207</v>
      </c>
      <c r="F20" s="450"/>
      <c r="G20" s="622">
        <f>C20</f>
        <v>2.7900000000000001E-2</v>
      </c>
    </row>
    <row r="21" spans="1:7" ht="25" customHeight="1">
      <c r="A21" s="694" t="s">
        <v>208</v>
      </c>
      <c r="B21" s="695"/>
      <c r="C21" s="622">
        <v>6.0999999999999999E-2</v>
      </c>
      <c r="D21" s="234" t="s">
        <v>203</v>
      </c>
      <c r="E21" s="694" t="s">
        <v>208</v>
      </c>
      <c r="F21" s="695"/>
      <c r="G21" s="622">
        <f>C21</f>
        <v>6.0999999999999999E-2</v>
      </c>
    </row>
    <row r="22" spans="1:7" ht="25" customHeight="1">
      <c r="A22" s="694" t="s">
        <v>209</v>
      </c>
      <c r="B22" s="695"/>
      <c r="C22" s="622">
        <f>C36</f>
        <v>6.5336265385580267E-2</v>
      </c>
      <c r="D22" s="234"/>
      <c r="E22" s="694" t="s">
        <v>209</v>
      </c>
      <c r="F22" s="695"/>
      <c r="G22" s="622">
        <f>G36</f>
        <v>7.1587902533606348E-2</v>
      </c>
    </row>
    <row r="23" spans="1:7" ht="25" customHeight="1">
      <c r="A23" s="694" t="s">
        <v>210</v>
      </c>
      <c r="B23" s="695"/>
      <c r="C23" s="622">
        <v>5.0000000000000001E-3</v>
      </c>
      <c r="D23" s="234" t="s">
        <v>203</v>
      </c>
      <c r="E23" s="694" t="s">
        <v>210</v>
      </c>
      <c r="F23" s="695"/>
      <c r="G23" s="622">
        <f>C23</f>
        <v>5.0000000000000001E-3</v>
      </c>
    </row>
    <row r="24" spans="1:7" ht="25" customHeight="1">
      <c r="A24" s="694" t="s">
        <v>211</v>
      </c>
      <c r="B24" s="695"/>
      <c r="C24" s="622">
        <v>1.3100000000000001E-2</v>
      </c>
      <c r="D24" s="234" t="s">
        <v>203</v>
      </c>
      <c r="E24" s="694" t="s">
        <v>211</v>
      </c>
      <c r="F24" s="695"/>
      <c r="G24" s="622">
        <f>C24</f>
        <v>1.3100000000000001E-2</v>
      </c>
    </row>
    <row r="25" spans="1:7" ht="25" customHeight="1">
      <c r="A25" s="694" t="s">
        <v>212</v>
      </c>
      <c r="B25" s="695"/>
      <c r="C25" s="622">
        <v>6.5300000000000002E-3</v>
      </c>
      <c r="D25" s="234" t="s">
        <v>203</v>
      </c>
      <c r="E25" s="694" t="s">
        <v>212</v>
      </c>
      <c r="F25" s="695"/>
      <c r="G25" s="622">
        <f>C25</f>
        <v>6.5300000000000002E-3</v>
      </c>
    </row>
    <row r="26" spans="1:7" ht="25" customHeight="1">
      <c r="A26" s="696" t="s">
        <v>213</v>
      </c>
      <c r="B26" s="697"/>
      <c r="C26" s="625">
        <f>SUM(C17:C25)</f>
        <v>0.33226626538558024</v>
      </c>
      <c r="D26" s="234"/>
      <c r="E26" s="696" t="s">
        <v>213</v>
      </c>
      <c r="F26" s="697"/>
      <c r="G26" s="625">
        <f>SUM(G17:G25)</f>
        <v>0.33851790253360631</v>
      </c>
    </row>
    <row r="27" spans="1:7" ht="25" customHeight="1">
      <c r="A27" s="239"/>
      <c r="C27" s="240"/>
      <c r="D27" s="234"/>
      <c r="E27" s="239"/>
      <c r="G27" s="240"/>
    </row>
    <row r="28" spans="1:7" ht="30" customHeight="1">
      <c r="A28" s="633" t="s">
        <v>214</v>
      </c>
      <c r="B28" s="440"/>
      <c r="C28" s="441"/>
      <c r="D28" s="234"/>
      <c r="E28" s="633" t="s">
        <v>214</v>
      </c>
      <c r="F28" s="440"/>
      <c r="G28" s="441"/>
    </row>
    <row r="29" spans="1:7" ht="25" customHeight="1">
      <c r="A29" s="442"/>
      <c r="B29" s="443"/>
      <c r="C29" s="443"/>
      <c r="D29" s="234"/>
      <c r="E29" s="442"/>
      <c r="F29" s="443"/>
      <c r="G29" s="443"/>
    </row>
    <row r="30" spans="1:7" ht="25" customHeight="1">
      <c r="A30" s="443"/>
      <c r="B30" s="443"/>
      <c r="C30" s="451" t="s">
        <v>215</v>
      </c>
      <c r="D30" s="234"/>
      <c r="E30" s="443"/>
      <c r="F30" s="443"/>
      <c r="G30" s="451" t="s">
        <v>215</v>
      </c>
    </row>
    <row r="31" spans="1:7" ht="25" customHeight="1">
      <c r="A31" s="447" t="s">
        <v>216</v>
      </c>
      <c r="B31" s="445"/>
      <c r="C31" s="241">
        <f>'5-Opbouw uurtarief productie'!E22</f>
        <v>19.235673600000002</v>
      </c>
      <c r="D31" s="234"/>
      <c r="E31" s="447" t="s">
        <v>216</v>
      </c>
      <c r="F31" s="445"/>
      <c r="G31" s="241">
        <f>'6-Opbouw uurtarief toezicht'!E22</f>
        <v>22.631531519999999</v>
      </c>
    </row>
    <row r="32" spans="1:7" ht="25" customHeight="1">
      <c r="A32" s="447" t="s">
        <v>217</v>
      </c>
      <c r="B32" s="452" t="s">
        <v>218</v>
      </c>
      <c r="C32" s="626">
        <v>-7.49</v>
      </c>
      <c r="D32" s="234" t="s">
        <v>203</v>
      </c>
      <c r="E32" s="447" t="s">
        <v>217</v>
      </c>
      <c r="F32" s="452" t="s">
        <v>218</v>
      </c>
      <c r="G32" s="626">
        <f>C32</f>
        <v>-7.49</v>
      </c>
    </row>
    <row r="33" spans="1:7" ht="25" customHeight="1">
      <c r="A33" s="447" t="s">
        <v>219</v>
      </c>
      <c r="B33" s="445"/>
      <c r="C33" s="627">
        <f>C31+C32</f>
        <v>11.745673600000002</v>
      </c>
      <c r="D33" s="234"/>
      <c r="E33" s="447" t="s">
        <v>219</v>
      </c>
      <c r="F33" s="445"/>
      <c r="G33" s="627">
        <f>G31+G32</f>
        <v>15.141531519999999</v>
      </c>
    </row>
    <row r="34" spans="1:7" ht="25" customHeight="1">
      <c r="A34" s="242" t="s">
        <v>220</v>
      </c>
      <c r="B34" s="453"/>
      <c r="C34" s="622">
        <v>0.107</v>
      </c>
      <c r="D34" s="231" t="s">
        <v>203</v>
      </c>
      <c r="E34" s="242" t="s">
        <v>220</v>
      </c>
      <c r="F34" s="453"/>
      <c r="G34" s="622">
        <v>0.107</v>
      </c>
    </row>
    <row r="35" spans="1:7" ht="25" customHeight="1">
      <c r="A35" s="442"/>
      <c r="B35" s="454"/>
      <c r="C35" s="628" t="s">
        <v>46</v>
      </c>
      <c r="E35" s="442"/>
      <c r="F35" s="454"/>
      <c r="G35" s="628"/>
    </row>
    <row r="36" spans="1:7" ht="25" customHeight="1">
      <c r="A36" s="243" t="s">
        <v>221</v>
      </c>
      <c r="B36" s="455"/>
      <c r="C36" s="456">
        <f>(C33/C31)*C34</f>
        <v>6.5336265385580267E-2</v>
      </c>
      <c r="E36" s="243" t="s">
        <v>221</v>
      </c>
      <c r="F36" s="455"/>
      <c r="G36" s="456">
        <f>(G33/G31)*G34</f>
        <v>7.1587902533606348E-2</v>
      </c>
    </row>
    <row r="37" spans="1:7" ht="25" customHeight="1">
      <c r="A37" s="442"/>
      <c r="B37" s="443"/>
      <c r="C37" s="443"/>
      <c r="E37" s="457"/>
      <c r="F37" s="235"/>
      <c r="G37" s="232"/>
    </row>
    <row r="38" spans="1:7" ht="30" customHeight="1">
      <c r="A38" s="634" t="s">
        <v>222</v>
      </c>
      <c r="B38" s="635"/>
      <c r="C38" s="244"/>
      <c r="E38" s="457"/>
      <c r="F38" s="235"/>
      <c r="G38" s="232"/>
    </row>
    <row r="39" spans="1:7" ht="25" customHeight="1">
      <c r="A39" s="239"/>
      <c r="C39" s="240"/>
      <c r="E39" s="457"/>
      <c r="F39" s="235"/>
      <c r="G39" s="232"/>
    </row>
    <row r="40" spans="1:7" ht="25" customHeight="1">
      <c r="A40" s="239"/>
      <c r="B40" s="245" t="s">
        <v>223</v>
      </c>
      <c r="C40" s="240"/>
      <c r="E40" s="457"/>
      <c r="F40" s="235"/>
      <c r="G40" s="232"/>
    </row>
    <row r="41" spans="1:7" ht="25" customHeight="1">
      <c r="A41" s="246" t="s">
        <v>224</v>
      </c>
      <c r="B41" s="247">
        <v>365</v>
      </c>
      <c r="C41" s="240"/>
      <c r="E41" s="457"/>
      <c r="F41" s="235"/>
      <c r="G41" s="248"/>
    </row>
    <row r="42" spans="1:7" ht="25" customHeight="1">
      <c r="A42" s="246" t="s">
        <v>225</v>
      </c>
      <c r="B42" s="247">
        <v>104</v>
      </c>
      <c r="C42" s="240"/>
      <c r="E42" s="457"/>
      <c r="F42" s="235"/>
      <c r="G42" s="248"/>
    </row>
    <row r="43" spans="1:7" ht="25" customHeight="1">
      <c r="A43" s="249" t="s">
        <v>226</v>
      </c>
      <c r="B43" s="250">
        <f>B41-B42</f>
        <v>261</v>
      </c>
      <c r="C43" s="240"/>
      <c r="E43" s="457"/>
      <c r="F43" s="235"/>
      <c r="G43" s="251"/>
    </row>
    <row r="44" spans="1:7" ht="25" customHeight="1">
      <c r="A44" s="252"/>
      <c r="B44" s="253"/>
      <c r="C44" s="240"/>
      <c r="E44" s="457"/>
      <c r="F44" s="235"/>
      <c r="G44" s="251"/>
    </row>
    <row r="45" spans="1:7" ht="25" customHeight="1">
      <c r="A45" s="246" t="s">
        <v>227</v>
      </c>
      <c r="B45" s="254">
        <v>7</v>
      </c>
      <c r="C45" s="240" t="s">
        <v>228</v>
      </c>
      <c r="E45" s="457"/>
      <c r="F45" s="235"/>
      <c r="G45" s="251"/>
    </row>
    <row r="46" spans="1:7" ht="25" customHeight="1">
      <c r="A46" s="246" t="s">
        <v>229</v>
      </c>
      <c r="B46" s="254">
        <v>27</v>
      </c>
      <c r="C46" s="240" t="s">
        <v>230</v>
      </c>
      <c r="E46" s="457"/>
      <c r="F46" s="235"/>
      <c r="G46" s="251"/>
    </row>
    <row r="47" spans="1:7" ht="25" customHeight="1">
      <c r="A47" s="246" t="s">
        <v>231</v>
      </c>
      <c r="B47" s="254">
        <v>15</v>
      </c>
      <c r="C47" s="240"/>
      <c r="E47" s="457"/>
      <c r="F47" s="235"/>
      <c r="G47" s="251"/>
    </row>
    <row r="48" spans="1:7" ht="25" customHeight="1">
      <c r="A48" s="246" t="s">
        <v>232</v>
      </c>
      <c r="B48" s="254"/>
      <c r="C48" s="240"/>
      <c r="E48" s="457"/>
      <c r="F48" s="235"/>
      <c r="G48" s="251"/>
    </row>
    <row r="49" spans="1:7" ht="25" customHeight="1">
      <c r="A49" s="249" t="s">
        <v>233</v>
      </c>
      <c r="B49" s="250">
        <f>B43-SUM(B45:B48)</f>
        <v>212</v>
      </c>
      <c r="C49" s="240"/>
      <c r="E49" s="457"/>
      <c r="F49" s="235"/>
      <c r="G49" s="251"/>
    </row>
    <row r="50" spans="1:7" ht="25" customHeight="1">
      <c r="A50" s="255"/>
      <c r="B50" s="253"/>
      <c r="C50" s="240"/>
      <c r="E50" s="457"/>
      <c r="F50" s="235"/>
      <c r="G50" s="251"/>
    </row>
    <row r="51" spans="1:7" ht="25" customHeight="1">
      <c r="A51" s="256" t="s">
        <v>234</v>
      </c>
      <c r="B51" s="257">
        <f>IF(B45=0,0,B45/$B$49)</f>
        <v>3.3018867924528301E-2</v>
      </c>
      <c r="C51" s="240"/>
      <c r="E51" s="457"/>
      <c r="F51" s="235"/>
      <c r="G51" s="251"/>
    </row>
    <row r="52" spans="1:7" ht="25" customHeight="1">
      <c r="A52" s="256" t="s">
        <v>229</v>
      </c>
      <c r="B52" s="257">
        <f>IF(B46=0,0,B46/$B$49)</f>
        <v>0.12735849056603774</v>
      </c>
      <c r="C52" s="240"/>
      <c r="E52" s="457"/>
      <c r="F52" s="235"/>
      <c r="G52" s="251"/>
    </row>
    <row r="53" spans="1:7" ht="25" customHeight="1">
      <c r="A53" s="246" t="s">
        <v>231</v>
      </c>
      <c r="B53" s="257">
        <f>IF(B47=0,0,B47/$B$49)</f>
        <v>7.0754716981132074E-2</v>
      </c>
      <c r="C53" s="240"/>
      <c r="E53" s="457"/>
      <c r="F53" s="235"/>
      <c r="G53" s="251"/>
    </row>
    <row r="54" spans="1:7" ht="25" customHeight="1">
      <c r="A54" s="256" t="s">
        <v>232</v>
      </c>
      <c r="B54" s="257">
        <f>IF(B48=0,0,B48/$B$49)</f>
        <v>0</v>
      </c>
      <c r="C54" s="240"/>
      <c r="E54" s="457"/>
      <c r="F54" s="235"/>
      <c r="G54" s="258"/>
    </row>
    <row r="55" spans="1:7" ht="25" customHeight="1">
      <c r="A55" s="249" t="s">
        <v>235</v>
      </c>
      <c r="B55" s="259">
        <f>SUM(B51:B54)</f>
        <v>0.23113207547169812</v>
      </c>
      <c r="C55" s="240"/>
      <c r="E55" s="457"/>
      <c r="F55" s="235"/>
      <c r="G55" s="260"/>
    </row>
    <row r="56" spans="1:7" ht="25" customHeight="1">
      <c r="A56" s="458"/>
      <c r="B56" s="458"/>
      <c r="C56" s="458"/>
      <c r="E56" s="457"/>
      <c r="F56" s="235"/>
      <c r="G56" s="232"/>
    </row>
    <row r="57" spans="1:7" ht="30" customHeight="1">
      <c r="A57" s="691" t="s">
        <v>236</v>
      </c>
      <c r="B57" s="692"/>
      <c r="C57" s="693"/>
      <c r="E57" s="457"/>
      <c r="F57" s="235"/>
      <c r="G57" s="232"/>
    </row>
    <row r="60" spans="1:7" ht="25" customHeight="1">
      <c r="A60" s="636"/>
    </row>
    <row r="61" spans="1:7" ht="25" customHeight="1">
      <c r="A61" s="636"/>
    </row>
    <row r="62" spans="1:7" ht="25" customHeight="1">
      <c r="A62" s="636"/>
    </row>
    <row r="63" spans="1:7" ht="25" customHeight="1">
      <c r="A63" s="636"/>
    </row>
    <row r="64" spans="1:7" ht="25" customHeight="1">
      <c r="A64" s="636"/>
    </row>
    <row r="72" spans="1:3" ht="25" customHeight="1">
      <c r="B72" s="637"/>
    </row>
    <row r="76" spans="1:3" ht="25" customHeight="1">
      <c r="A76" s="638"/>
      <c r="C76" s="638"/>
    </row>
    <row r="80" spans="1:3" ht="25" customHeight="1">
      <c r="A80" s="638"/>
      <c r="C80" s="638"/>
    </row>
    <row r="81" spans="1:3" ht="25" customHeight="1">
      <c r="A81" s="638"/>
      <c r="C81" s="638"/>
    </row>
    <row r="82" spans="1:3" ht="25" customHeight="1">
      <c r="A82" s="638"/>
      <c r="C82" s="638"/>
    </row>
  </sheetData>
  <sheetProtection algorithmName="SHA-512" hashValue="eF3xlZxlEMeuEfplRHKsWzHhG6kMTVWXnX77mDQyXNkg86xBGsVxFU6cd8b0wE0DH7dNIhJkJxoCVCf+ktc97w==" saltValue="Ge22n8b8YeinfQ8cV2AEMw==" spinCount="100000" sheet="1" objects="1" scenarios="1"/>
  <dataConsolidate/>
  <mergeCells count="15">
    <mergeCell ref="A57:C57"/>
    <mergeCell ref="E19:F19"/>
    <mergeCell ref="E21:F21"/>
    <mergeCell ref="E22:F22"/>
    <mergeCell ref="E23:F23"/>
    <mergeCell ref="E25:F25"/>
    <mergeCell ref="E26:F26"/>
    <mergeCell ref="A19:B19"/>
    <mergeCell ref="A21:B21"/>
    <mergeCell ref="A22:B22"/>
    <mergeCell ref="A23:B23"/>
    <mergeCell ref="A25:B25"/>
    <mergeCell ref="A26:B26"/>
    <mergeCell ref="A24:B24"/>
    <mergeCell ref="E24:F24"/>
  </mergeCells>
  <pageMargins left="0.59055118110236227" right="0.59055118110236227" top="0.59055118110236227" bottom="0.78740157480314965" header="0" footer="0"/>
  <pageSetup paperSize="9" scale="47" orientation="portrait" r:id="rId1"/>
  <headerFoot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964"/>
  <sheetViews>
    <sheetView showGridLines="0" topLeftCell="B1" workbookViewId="0">
      <pane ySplit="8" topLeftCell="A9" activePane="bottomLeft" state="frozen"/>
      <selection activeCell="B4" sqref="B4"/>
      <selection pane="bottomLeft" activeCell="H5" sqref="H5"/>
    </sheetView>
  </sheetViews>
  <sheetFormatPr baseColWidth="10" defaultColWidth="14.1640625" defaultRowHeight="18" customHeight="1"/>
  <cols>
    <col min="1" max="1" width="4.1640625" hidden="1" customWidth="1"/>
    <col min="2" max="2" width="34.1640625" customWidth="1"/>
    <col min="3" max="3" width="37.83203125" bestFit="1" customWidth="1"/>
    <col min="4" max="4" width="15.6640625" bestFit="1" customWidth="1"/>
    <col min="5" max="5" width="12" bestFit="1" customWidth="1"/>
    <col min="6" max="6" width="27.1640625" customWidth="1"/>
    <col min="7" max="7" width="25.33203125" customWidth="1"/>
    <col min="8" max="8" width="19.83203125" customWidth="1"/>
    <col min="9" max="9" width="17.83203125" customWidth="1"/>
    <col min="10" max="10" width="15.1640625" customWidth="1"/>
    <col min="11" max="11" width="13.83203125" customWidth="1"/>
    <col min="12" max="14" width="12.1640625" customWidth="1"/>
    <col min="15" max="15" width="17.1640625" customWidth="1"/>
    <col min="16" max="19" width="9.1640625" customWidth="1"/>
    <col min="20" max="20" width="9.1640625" style="201" customWidth="1"/>
    <col min="21" max="24" width="11.83203125" customWidth="1"/>
    <col min="25" max="25" width="23.1640625" customWidth="1"/>
    <col min="26" max="26" width="13.83203125" customWidth="1"/>
    <col min="27" max="27" width="18.1640625" customWidth="1"/>
    <col min="28" max="28" width="8.83203125" customWidth="1"/>
  </cols>
  <sheetData>
    <row r="1" spans="1:32" ht="18" customHeight="1">
      <c r="A1" s="120">
        <v>2</v>
      </c>
      <c r="B1" s="121"/>
      <c r="C1" s="122"/>
      <c r="D1" s="32"/>
      <c r="E1" s="79"/>
      <c r="F1" s="7"/>
      <c r="G1" s="7"/>
      <c r="H1" s="123"/>
      <c r="I1" s="124"/>
      <c r="J1" s="77"/>
      <c r="K1" s="125"/>
      <c r="L1" s="125"/>
      <c r="M1" s="125"/>
      <c r="N1" s="125"/>
      <c r="O1" s="125"/>
      <c r="P1" s="126"/>
      <c r="Q1" s="125"/>
      <c r="R1" s="127"/>
      <c r="S1" s="125"/>
      <c r="T1" s="198"/>
      <c r="U1" s="128"/>
      <c r="V1" s="128"/>
      <c r="W1" s="128"/>
      <c r="X1" s="128"/>
      <c r="Y1" s="119"/>
    </row>
    <row r="2" spans="1:32" ht="18" customHeight="1">
      <c r="A2" s="120">
        <v>3</v>
      </c>
      <c r="B2" s="12" t="str">
        <f>'1-Contractblad dag'!A3</f>
        <v>Naam opdrachtgever</v>
      </c>
      <c r="C2" s="14" t="str">
        <f>'1-Contractblad dag'!B3</f>
        <v>Gemeente Fryske Marren</v>
      </c>
      <c r="D2" s="129"/>
      <c r="H2" s="123"/>
      <c r="I2" s="124"/>
      <c r="J2" s="77"/>
      <c r="K2" s="125"/>
      <c r="L2" s="125"/>
      <c r="M2" s="125"/>
      <c r="N2" s="125"/>
      <c r="O2" s="125"/>
      <c r="P2" s="126"/>
      <c r="Q2" s="125"/>
      <c r="R2" s="127"/>
      <c r="S2" s="125"/>
      <c r="T2" s="124"/>
      <c r="U2" s="88"/>
      <c r="V2" s="88"/>
      <c r="W2" s="88"/>
      <c r="X2" s="88"/>
      <c r="Y2" s="119"/>
    </row>
    <row r="3" spans="1:32" ht="18" customHeight="1">
      <c r="A3" s="120">
        <v>4</v>
      </c>
      <c r="B3" s="12" t="str">
        <f>'1-Contractblad dag'!A4</f>
        <v>Calculatie onderdeel</v>
      </c>
      <c r="C3" s="14" t="s">
        <v>237</v>
      </c>
      <c r="D3" s="130"/>
      <c r="F3" s="16"/>
      <c r="G3" s="16"/>
      <c r="H3" s="123"/>
      <c r="I3" s="124"/>
      <c r="J3" s="77"/>
      <c r="K3" s="125"/>
      <c r="L3" s="125"/>
      <c r="M3" s="125"/>
      <c r="N3" s="125"/>
      <c r="O3" s="125"/>
      <c r="P3" s="126"/>
      <c r="Q3" s="125"/>
      <c r="R3" s="127"/>
      <c r="S3" s="125"/>
      <c r="T3" s="124"/>
      <c r="U3" s="88"/>
      <c r="V3" s="88"/>
      <c r="W3" s="88"/>
      <c r="X3" s="88"/>
      <c r="Y3" s="119"/>
    </row>
    <row r="4" spans="1:32" ht="18" customHeight="1">
      <c r="A4" s="120">
        <v>5</v>
      </c>
      <c r="B4" s="12" t="str">
        <f>'1-Contractblad dag'!A5</f>
        <v>Gebouw/plaats</v>
      </c>
      <c r="C4" s="14" t="str">
        <f>'1-Contractblad dag'!B5</f>
        <v>Totaal</v>
      </c>
      <c r="D4" s="129"/>
      <c r="H4" s="123"/>
      <c r="I4" s="124"/>
      <c r="J4" s="77"/>
      <c r="K4" s="125"/>
      <c r="L4" s="125"/>
      <c r="M4" s="125"/>
      <c r="N4" s="125"/>
      <c r="O4" s="125"/>
      <c r="P4" s="126"/>
      <c r="Q4" s="125"/>
      <c r="R4" s="127"/>
      <c r="S4" s="125"/>
      <c r="T4" s="124"/>
      <c r="U4" s="88"/>
      <c r="V4" s="88"/>
      <c r="W4" s="88"/>
      <c r="X4" s="88"/>
      <c r="Y4" s="119"/>
    </row>
    <row r="5" spans="1:32" ht="18" customHeight="1">
      <c r="A5" s="120">
        <v>6</v>
      </c>
      <c r="B5" s="12" t="str">
        <f>'1-Contractblad dag'!A6</f>
        <v>Besteknummer</v>
      </c>
      <c r="C5" s="14" t="str">
        <f>'1-Contractblad dag'!B6</f>
        <v>Calculatie-GFM -2026.01 (prijspeil 1-1-2027)</v>
      </c>
      <c r="D5" s="129"/>
      <c r="H5" s="123"/>
      <c r="I5" s="124"/>
      <c r="J5" s="77"/>
      <c r="K5" s="125"/>
      <c r="L5" s="125"/>
      <c r="M5" s="125"/>
      <c r="N5" s="125"/>
      <c r="O5" s="125"/>
      <c r="P5" s="126"/>
      <c r="Q5" s="125"/>
      <c r="R5" s="127"/>
      <c r="S5" s="125"/>
      <c r="T5" s="124"/>
      <c r="U5" s="88"/>
      <c r="V5" s="88"/>
      <c r="W5" s="88"/>
      <c r="X5" s="88"/>
      <c r="Y5" s="119"/>
    </row>
    <row r="6" spans="1:32" ht="18" customHeight="1">
      <c r="A6" s="120">
        <v>7</v>
      </c>
      <c r="B6" s="12" t="str">
        <f>'1-Contractblad dag'!A7</f>
        <v>Naam leverancier</v>
      </c>
      <c r="C6" s="14" t="str">
        <f>'1-Contractblad dag'!B7</f>
        <v>Vaste calculatie</v>
      </c>
      <c r="D6" s="129"/>
      <c r="H6" s="123"/>
      <c r="I6" s="124"/>
      <c r="J6" s="77"/>
      <c r="K6" s="125"/>
      <c r="L6" s="125"/>
      <c r="M6" s="125"/>
      <c r="N6" s="125"/>
      <c r="O6" s="125"/>
      <c r="P6" s="126"/>
      <c r="Q6" s="125"/>
      <c r="R6" s="127"/>
      <c r="S6" s="125"/>
      <c r="T6" s="124"/>
      <c r="U6" s="88"/>
      <c r="V6" s="88"/>
      <c r="W6" s="88"/>
      <c r="X6" s="88"/>
      <c r="Y6" s="119"/>
    </row>
    <row r="7" spans="1:32" ht="18" customHeight="1">
      <c r="A7" s="120">
        <v>8</v>
      </c>
      <c r="B7" s="127"/>
      <c r="C7" s="122"/>
      <c r="D7" s="131"/>
      <c r="E7" s="127"/>
      <c r="F7" s="88"/>
      <c r="G7" s="88"/>
      <c r="H7" s="123"/>
      <c r="I7" s="124"/>
      <c r="J7" s="77"/>
      <c r="K7" s="125"/>
      <c r="L7" s="125"/>
      <c r="M7" s="125"/>
      <c r="N7" s="125"/>
      <c r="O7" s="125"/>
      <c r="P7" s="126"/>
      <c r="Q7" s="125"/>
      <c r="R7" s="127"/>
      <c r="S7" s="125"/>
      <c r="T7" s="198"/>
      <c r="U7" s="128"/>
      <c r="V7" s="128"/>
      <c r="W7" s="128"/>
      <c r="X7" s="128"/>
      <c r="Y7" s="119"/>
    </row>
    <row r="8" spans="1:32" ht="58" customHeight="1">
      <c r="A8" s="120">
        <v>9</v>
      </c>
      <c r="B8" s="132" t="s">
        <v>238</v>
      </c>
      <c r="C8" s="132" t="s">
        <v>239</v>
      </c>
      <c r="D8" s="133" t="s">
        <v>240</v>
      </c>
      <c r="E8" s="134" t="s">
        <v>241</v>
      </c>
      <c r="F8" s="132" t="s">
        <v>242</v>
      </c>
      <c r="G8" s="132" t="s">
        <v>93</v>
      </c>
      <c r="H8" s="135" t="s">
        <v>243</v>
      </c>
      <c r="I8" s="136" t="s">
        <v>100</v>
      </c>
      <c r="J8" s="137" t="s">
        <v>244</v>
      </c>
      <c r="K8" s="138" t="s">
        <v>245</v>
      </c>
      <c r="L8" s="139" t="s">
        <v>246</v>
      </c>
      <c r="M8" s="139" t="s">
        <v>247</v>
      </c>
      <c r="N8" s="139" t="s">
        <v>248</v>
      </c>
      <c r="O8" s="139" t="s">
        <v>249</v>
      </c>
      <c r="P8" s="140" t="s">
        <v>250</v>
      </c>
      <c r="Q8" s="138" t="s">
        <v>251</v>
      </c>
      <c r="R8" s="138" t="s">
        <v>252</v>
      </c>
      <c r="S8" s="138" t="s">
        <v>253</v>
      </c>
      <c r="T8" s="199" t="s">
        <v>254</v>
      </c>
      <c r="U8" s="135" t="s">
        <v>255</v>
      </c>
      <c r="V8" s="135" t="s">
        <v>256</v>
      </c>
      <c r="W8" s="135" t="s">
        <v>257</v>
      </c>
      <c r="X8" s="135" t="s">
        <v>258</v>
      </c>
      <c r="Y8" s="141" t="s">
        <v>259</v>
      </c>
      <c r="Z8" s="7"/>
      <c r="AA8" s="7"/>
      <c r="AB8" s="7"/>
      <c r="AE8" s="581" t="s">
        <v>75</v>
      </c>
      <c r="AF8" s="581" t="s">
        <v>76</v>
      </c>
    </row>
    <row r="9" spans="1:32" ht="18" customHeight="1">
      <c r="A9" s="120">
        <v>10</v>
      </c>
      <c r="B9" s="220" t="s">
        <v>260</v>
      </c>
      <c r="C9" s="221" t="s">
        <v>180</v>
      </c>
      <c r="D9" s="222">
        <v>0</v>
      </c>
      <c r="E9" s="223" t="s">
        <v>261</v>
      </c>
      <c r="F9" s="63" t="s">
        <v>262</v>
      </c>
      <c r="G9" s="63" t="s">
        <v>263</v>
      </c>
      <c r="H9" s="51" t="s">
        <v>76</v>
      </c>
      <c r="I9" s="145">
        <v>15</v>
      </c>
      <c r="J9" s="213" t="s">
        <v>161</v>
      </c>
      <c r="K9" s="146">
        <f t="shared" ref="K9:K77" si="0">SUM(IF(J9="",0,VLOOKUP(J9,Kengetal,2)))</f>
        <v>0</v>
      </c>
      <c r="L9" s="147">
        <f t="shared" ref="L9:L363" si="1">P9*I9*U9</f>
        <v>0</v>
      </c>
      <c r="M9" s="147">
        <f t="shared" ref="M9:M363" si="2">Q9*I9*V9</f>
        <v>0</v>
      </c>
      <c r="N9" s="147">
        <f t="shared" ref="N9:N363" si="3">R9*I9*W9</f>
        <v>0</v>
      </c>
      <c r="O9" s="147">
        <f t="shared" ref="O9:O363" si="4">S9*I9*X9</f>
        <v>0</v>
      </c>
      <c r="P9" s="148">
        <f t="shared" ref="P9:P77" si="5">IF($J9="",0,VLOOKUP($J9,Kengetal,5,FALSE))</f>
        <v>0</v>
      </c>
      <c r="Q9" s="147">
        <f t="shared" ref="Q9:Q77" si="6">IF($J9="",0,VLOOKUP($J9,Kengetal,6,FALSE))</f>
        <v>0</v>
      </c>
      <c r="R9" s="147">
        <f t="shared" ref="R9:R77" si="7">IF($J9="",0,VLOOKUP($J9,Kengetal,7,FALSE))</f>
        <v>0</v>
      </c>
      <c r="S9" s="147">
        <f t="shared" ref="S9:S77" si="8">IF($J9="",0,VLOOKUP($J9,Kengetal,8,FALSE))</f>
        <v>0</v>
      </c>
      <c r="T9" s="200" t="str">
        <f t="shared" ref="T9:T77" si="9">IF(J9="","",VLOOKUP(J9,Kengetal,13,FALSE))</f>
        <v>nvt</v>
      </c>
      <c r="U9" s="214">
        <v>5.3</v>
      </c>
      <c r="V9" s="214">
        <v>1</v>
      </c>
      <c r="W9" s="214">
        <v>1</v>
      </c>
      <c r="X9" s="214">
        <v>1</v>
      </c>
      <c r="Y9" s="142"/>
      <c r="Z9" s="149">
        <f>I9*K9</f>
        <v>0</v>
      </c>
      <c r="AA9" s="150">
        <f t="shared" ref="AA9" si="10">L9+M9+N9+O9</f>
        <v>0</v>
      </c>
      <c r="AB9" s="151"/>
      <c r="AE9" s="582">
        <f>SUMIF(H9,"Linoleum",I9)</f>
        <v>0</v>
      </c>
      <c r="AF9" s="582">
        <f>SUMIF(H9,"Tapijt",I9)</f>
        <v>15</v>
      </c>
    </row>
    <row r="10" spans="1:32" ht="18" customHeight="1">
      <c r="A10" s="120">
        <v>11</v>
      </c>
      <c r="B10" s="220" t="s">
        <v>260</v>
      </c>
      <c r="C10" s="221" t="s">
        <v>180</v>
      </c>
      <c r="D10" s="222">
        <v>0</v>
      </c>
      <c r="E10" s="223" t="s">
        <v>264</v>
      </c>
      <c r="F10" s="63" t="s">
        <v>265</v>
      </c>
      <c r="G10" s="63" t="s">
        <v>266</v>
      </c>
      <c r="H10" s="51" t="s">
        <v>267</v>
      </c>
      <c r="I10" s="145">
        <v>4</v>
      </c>
      <c r="J10" s="213" t="s">
        <v>161</v>
      </c>
      <c r="K10" s="146">
        <f t="shared" si="0"/>
        <v>0</v>
      </c>
      <c r="L10" s="147">
        <f t="shared" si="1"/>
        <v>0</v>
      </c>
      <c r="M10" s="147">
        <f t="shared" si="2"/>
        <v>0</v>
      </c>
      <c r="N10" s="147">
        <f t="shared" si="3"/>
        <v>0</v>
      </c>
      <c r="O10" s="147">
        <f t="shared" si="4"/>
        <v>0</v>
      </c>
      <c r="P10" s="148">
        <f t="shared" si="5"/>
        <v>0</v>
      </c>
      <c r="Q10" s="147">
        <f t="shared" si="6"/>
        <v>0</v>
      </c>
      <c r="R10" s="147">
        <f t="shared" si="7"/>
        <v>0</v>
      </c>
      <c r="S10" s="147">
        <f t="shared" si="8"/>
        <v>0</v>
      </c>
      <c r="T10" s="200" t="str">
        <f t="shared" si="9"/>
        <v>nvt</v>
      </c>
      <c r="U10" s="214">
        <v>5.3</v>
      </c>
      <c r="V10" s="214">
        <v>1</v>
      </c>
      <c r="W10" s="214">
        <v>1</v>
      </c>
      <c r="X10" s="214">
        <v>1</v>
      </c>
      <c r="Y10" s="142"/>
      <c r="Z10" s="149">
        <f t="shared" ref="Z10:Z70" si="11">I10*K10</f>
        <v>0</v>
      </c>
      <c r="AA10" s="150">
        <f t="shared" ref="AA10:AA70" si="12">L10+M10+N10+O10</f>
        <v>0</v>
      </c>
      <c r="AB10" s="151"/>
      <c r="AE10" s="582">
        <f t="shared" ref="AE10:AE70" si="13">SUMIF(H10,"Linoleum",I10)</f>
        <v>0</v>
      </c>
      <c r="AF10" s="582">
        <f t="shared" ref="AF10:AF70" si="14">SUMIF(H10,"Tapijt",I10)</f>
        <v>0</v>
      </c>
    </row>
    <row r="11" spans="1:32" ht="18" customHeight="1">
      <c r="A11" s="120">
        <v>12</v>
      </c>
      <c r="B11" s="220" t="s">
        <v>260</v>
      </c>
      <c r="C11" s="221" t="s">
        <v>180</v>
      </c>
      <c r="D11" s="222">
        <v>0</v>
      </c>
      <c r="E11" s="223" t="s">
        <v>268</v>
      </c>
      <c r="F11" s="63" t="s">
        <v>265</v>
      </c>
      <c r="G11" s="63" t="s">
        <v>266</v>
      </c>
      <c r="H11" s="51" t="s">
        <v>267</v>
      </c>
      <c r="I11" s="145">
        <v>4</v>
      </c>
      <c r="J11" s="213" t="s">
        <v>161</v>
      </c>
      <c r="K11" s="146">
        <f t="shared" si="0"/>
        <v>0</v>
      </c>
      <c r="L11" s="147">
        <f t="shared" si="1"/>
        <v>0</v>
      </c>
      <c r="M11" s="147">
        <f t="shared" si="2"/>
        <v>0</v>
      </c>
      <c r="N11" s="147">
        <f t="shared" si="3"/>
        <v>0</v>
      </c>
      <c r="O11" s="147">
        <f t="shared" si="4"/>
        <v>0</v>
      </c>
      <c r="P11" s="148">
        <f t="shared" si="5"/>
        <v>0</v>
      </c>
      <c r="Q11" s="147">
        <f t="shared" si="6"/>
        <v>0</v>
      </c>
      <c r="R11" s="147">
        <f t="shared" si="7"/>
        <v>0</v>
      </c>
      <c r="S11" s="147">
        <f t="shared" si="8"/>
        <v>0</v>
      </c>
      <c r="T11" s="200" t="str">
        <f t="shared" si="9"/>
        <v>nvt</v>
      </c>
      <c r="U11" s="214">
        <v>5.3</v>
      </c>
      <c r="V11" s="214">
        <v>1</v>
      </c>
      <c r="W11" s="214">
        <v>1</v>
      </c>
      <c r="X11" s="214">
        <v>1</v>
      </c>
      <c r="Y11" s="142"/>
      <c r="Z11" s="149">
        <f t="shared" si="11"/>
        <v>0</v>
      </c>
      <c r="AA11" s="150">
        <f t="shared" si="12"/>
        <v>0</v>
      </c>
      <c r="AB11" s="151"/>
      <c r="AE11" s="582">
        <f t="shared" si="13"/>
        <v>0</v>
      </c>
      <c r="AF11" s="582">
        <f t="shared" si="14"/>
        <v>0</v>
      </c>
    </row>
    <row r="12" spans="1:32" ht="18" customHeight="1">
      <c r="A12" s="120">
        <v>13</v>
      </c>
      <c r="B12" s="220" t="s">
        <v>260</v>
      </c>
      <c r="C12" s="221" t="s">
        <v>57</v>
      </c>
      <c r="D12" s="222">
        <v>-1</v>
      </c>
      <c r="E12" s="223" t="s">
        <v>269</v>
      </c>
      <c r="F12" s="63" t="s">
        <v>270</v>
      </c>
      <c r="G12" s="63" t="s">
        <v>271</v>
      </c>
      <c r="H12" s="51" t="s">
        <v>76</v>
      </c>
      <c r="I12" s="145">
        <v>117.7</v>
      </c>
      <c r="J12" s="213" t="s">
        <v>161</v>
      </c>
      <c r="K12" s="146">
        <f t="shared" si="0"/>
        <v>0</v>
      </c>
      <c r="L12" s="147">
        <f t="shared" si="1"/>
        <v>0</v>
      </c>
      <c r="M12" s="147">
        <f t="shared" si="2"/>
        <v>0</v>
      </c>
      <c r="N12" s="147">
        <f t="shared" si="3"/>
        <v>0</v>
      </c>
      <c r="O12" s="147">
        <f t="shared" si="4"/>
        <v>0</v>
      </c>
      <c r="P12" s="148">
        <f t="shared" si="5"/>
        <v>0</v>
      </c>
      <c r="Q12" s="147">
        <f t="shared" si="6"/>
        <v>0</v>
      </c>
      <c r="R12" s="147">
        <f t="shared" si="7"/>
        <v>0</v>
      </c>
      <c r="S12" s="147">
        <f t="shared" si="8"/>
        <v>0</v>
      </c>
      <c r="T12" s="200" t="str">
        <f t="shared" si="9"/>
        <v>nvt</v>
      </c>
      <c r="U12" s="214">
        <v>1</v>
      </c>
      <c r="V12" s="214">
        <v>1</v>
      </c>
      <c r="W12" s="214">
        <v>1</v>
      </c>
      <c r="X12" s="214">
        <v>1</v>
      </c>
      <c r="Y12" s="142"/>
      <c r="Z12" s="149">
        <f t="shared" si="11"/>
        <v>0</v>
      </c>
      <c r="AA12" s="150">
        <f t="shared" si="12"/>
        <v>0</v>
      </c>
      <c r="AB12" s="151"/>
      <c r="AE12" s="582">
        <f t="shared" si="13"/>
        <v>0</v>
      </c>
      <c r="AF12" s="582">
        <f t="shared" si="14"/>
        <v>117.7</v>
      </c>
    </row>
    <row r="13" spans="1:32" ht="18" customHeight="1">
      <c r="A13" s="120">
        <v>14</v>
      </c>
      <c r="B13" s="220" t="s">
        <v>260</v>
      </c>
      <c r="C13" s="221" t="s">
        <v>57</v>
      </c>
      <c r="D13" s="222">
        <v>-1</v>
      </c>
      <c r="E13" s="223" t="s">
        <v>269</v>
      </c>
      <c r="F13" s="63" t="s">
        <v>270</v>
      </c>
      <c r="G13" s="63" t="s">
        <v>271</v>
      </c>
      <c r="H13" s="51" t="s">
        <v>272</v>
      </c>
      <c r="I13" s="145">
        <v>7.7</v>
      </c>
      <c r="J13" s="213" t="s">
        <v>161</v>
      </c>
      <c r="K13" s="146">
        <f t="shared" si="0"/>
        <v>0</v>
      </c>
      <c r="L13" s="147">
        <f t="shared" si="1"/>
        <v>0</v>
      </c>
      <c r="M13" s="147">
        <f t="shared" si="2"/>
        <v>0</v>
      </c>
      <c r="N13" s="147">
        <f t="shared" si="3"/>
        <v>0</v>
      </c>
      <c r="O13" s="147">
        <f t="shared" si="4"/>
        <v>0</v>
      </c>
      <c r="P13" s="148">
        <f t="shared" si="5"/>
        <v>0</v>
      </c>
      <c r="Q13" s="147">
        <f t="shared" si="6"/>
        <v>0</v>
      </c>
      <c r="R13" s="147">
        <f t="shared" si="7"/>
        <v>0</v>
      </c>
      <c r="S13" s="147">
        <f t="shared" si="8"/>
        <v>0</v>
      </c>
      <c r="T13" s="200" t="str">
        <f t="shared" si="9"/>
        <v>nvt</v>
      </c>
      <c r="U13" s="214">
        <v>1</v>
      </c>
      <c r="V13" s="214">
        <v>1</v>
      </c>
      <c r="W13" s="214">
        <v>1</v>
      </c>
      <c r="X13" s="214">
        <v>1</v>
      </c>
      <c r="Y13" s="142"/>
      <c r="Z13" s="149">
        <f t="shared" si="11"/>
        <v>0</v>
      </c>
      <c r="AA13" s="150">
        <f t="shared" si="12"/>
        <v>0</v>
      </c>
      <c r="AB13" s="151"/>
      <c r="AE13" s="582">
        <f t="shared" si="13"/>
        <v>0</v>
      </c>
      <c r="AF13" s="582">
        <f t="shared" si="14"/>
        <v>0</v>
      </c>
    </row>
    <row r="14" spans="1:32" ht="18" customHeight="1">
      <c r="A14" s="120">
        <v>15</v>
      </c>
      <c r="B14" s="220" t="s">
        <v>260</v>
      </c>
      <c r="C14" s="221" t="s">
        <v>57</v>
      </c>
      <c r="D14" s="222">
        <v>-1</v>
      </c>
      <c r="E14" s="223" t="s">
        <v>273</v>
      </c>
      <c r="F14" s="63" t="s">
        <v>274</v>
      </c>
      <c r="G14" s="63" t="s">
        <v>263</v>
      </c>
      <c r="H14" s="51" t="s">
        <v>76</v>
      </c>
      <c r="I14" s="145">
        <v>38.299999999999997</v>
      </c>
      <c r="J14" s="213" t="s">
        <v>161</v>
      </c>
      <c r="K14" s="146">
        <f t="shared" si="0"/>
        <v>0</v>
      </c>
      <c r="L14" s="147">
        <f t="shared" si="1"/>
        <v>0</v>
      </c>
      <c r="M14" s="147">
        <f t="shared" si="2"/>
        <v>0</v>
      </c>
      <c r="N14" s="147">
        <f t="shared" si="3"/>
        <v>0</v>
      </c>
      <c r="O14" s="147">
        <f t="shared" si="4"/>
        <v>0</v>
      </c>
      <c r="P14" s="148">
        <f t="shared" si="5"/>
        <v>0</v>
      </c>
      <c r="Q14" s="147">
        <f t="shared" si="6"/>
        <v>0</v>
      </c>
      <c r="R14" s="147">
        <f t="shared" si="7"/>
        <v>0</v>
      </c>
      <c r="S14" s="147">
        <f t="shared" si="8"/>
        <v>0</v>
      </c>
      <c r="T14" s="200" t="str">
        <f t="shared" si="9"/>
        <v>nvt</v>
      </c>
      <c r="U14" s="214">
        <v>1</v>
      </c>
      <c r="V14" s="214">
        <v>1</v>
      </c>
      <c r="W14" s="214">
        <v>1</v>
      </c>
      <c r="X14" s="214">
        <v>1</v>
      </c>
      <c r="Y14" s="142"/>
      <c r="Z14" s="149">
        <f t="shared" si="11"/>
        <v>0</v>
      </c>
      <c r="AA14" s="150">
        <f t="shared" si="12"/>
        <v>0</v>
      </c>
      <c r="AB14" s="151"/>
      <c r="AE14" s="582">
        <f t="shared" si="13"/>
        <v>0</v>
      </c>
      <c r="AF14" s="582">
        <f t="shared" si="14"/>
        <v>38.299999999999997</v>
      </c>
    </row>
    <row r="15" spans="1:32" ht="18" customHeight="1">
      <c r="A15" s="120">
        <v>16</v>
      </c>
      <c r="B15" s="220" t="s">
        <v>260</v>
      </c>
      <c r="C15" s="221" t="s">
        <v>57</v>
      </c>
      <c r="D15" s="222">
        <v>-1</v>
      </c>
      <c r="E15" s="223" t="s">
        <v>275</v>
      </c>
      <c r="F15" s="63" t="s">
        <v>262</v>
      </c>
      <c r="G15" s="63" t="s">
        <v>263</v>
      </c>
      <c r="H15" s="51" t="s">
        <v>276</v>
      </c>
      <c r="I15" s="145">
        <v>204.1</v>
      </c>
      <c r="J15" s="213" t="s">
        <v>161</v>
      </c>
      <c r="K15" s="146">
        <f t="shared" si="0"/>
        <v>0</v>
      </c>
      <c r="L15" s="147">
        <f t="shared" si="1"/>
        <v>0</v>
      </c>
      <c r="M15" s="147">
        <f t="shared" si="2"/>
        <v>0</v>
      </c>
      <c r="N15" s="147">
        <f t="shared" si="3"/>
        <v>0</v>
      </c>
      <c r="O15" s="147">
        <f t="shared" si="4"/>
        <v>0</v>
      </c>
      <c r="P15" s="148">
        <f t="shared" si="5"/>
        <v>0</v>
      </c>
      <c r="Q15" s="147">
        <f t="shared" si="6"/>
        <v>0</v>
      </c>
      <c r="R15" s="147">
        <f t="shared" si="7"/>
        <v>0</v>
      </c>
      <c r="S15" s="147">
        <f t="shared" si="8"/>
        <v>0</v>
      </c>
      <c r="T15" s="200" t="str">
        <f t="shared" si="9"/>
        <v>nvt</v>
      </c>
      <c r="U15" s="214">
        <v>1</v>
      </c>
      <c r="V15" s="214">
        <v>1</v>
      </c>
      <c r="W15" s="214">
        <v>1</v>
      </c>
      <c r="X15" s="214">
        <v>1</v>
      </c>
      <c r="Y15" s="142"/>
      <c r="Z15" s="149">
        <f t="shared" si="11"/>
        <v>0</v>
      </c>
      <c r="AA15" s="150">
        <f t="shared" si="12"/>
        <v>0</v>
      </c>
      <c r="AB15" s="151"/>
      <c r="AE15" s="582">
        <f t="shared" si="13"/>
        <v>0</v>
      </c>
      <c r="AF15" s="582">
        <f t="shared" si="14"/>
        <v>0</v>
      </c>
    </row>
    <row r="16" spans="1:32" ht="18" customHeight="1">
      <c r="A16" s="120">
        <v>17</v>
      </c>
      <c r="B16" s="220" t="s">
        <v>260</v>
      </c>
      <c r="C16" s="221" t="s">
        <v>57</v>
      </c>
      <c r="D16" s="222">
        <v>-1</v>
      </c>
      <c r="E16" s="223" t="s">
        <v>277</v>
      </c>
      <c r="F16" s="63" t="s">
        <v>278</v>
      </c>
      <c r="G16" s="63" t="s">
        <v>271</v>
      </c>
      <c r="H16" s="51" t="s">
        <v>279</v>
      </c>
      <c r="I16" s="145">
        <v>46.8</v>
      </c>
      <c r="J16" s="213" t="s">
        <v>161</v>
      </c>
      <c r="K16" s="146">
        <f t="shared" si="0"/>
        <v>0</v>
      </c>
      <c r="L16" s="147">
        <f t="shared" si="1"/>
        <v>0</v>
      </c>
      <c r="M16" s="147">
        <f t="shared" si="2"/>
        <v>0</v>
      </c>
      <c r="N16" s="147">
        <f t="shared" si="3"/>
        <v>0</v>
      </c>
      <c r="O16" s="147">
        <f t="shared" si="4"/>
        <v>0</v>
      </c>
      <c r="P16" s="148">
        <f t="shared" si="5"/>
        <v>0</v>
      </c>
      <c r="Q16" s="147">
        <f t="shared" si="6"/>
        <v>0</v>
      </c>
      <c r="R16" s="147">
        <f t="shared" si="7"/>
        <v>0</v>
      </c>
      <c r="S16" s="147">
        <f t="shared" si="8"/>
        <v>0</v>
      </c>
      <c r="T16" s="200" t="str">
        <f t="shared" si="9"/>
        <v>nvt</v>
      </c>
      <c r="U16" s="214">
        <v>1</v>
      </c>
      <c r="V16" s="214">
        <v>1</v>
      </c>
      <c r="W16" s="214">
        <v>1</v>
      </c>
      <c r="X16" s="214">
        <v>1</v>
      </c>
      <c r="Y16" s="142"/>
      <c r="Z16" s="149">
        <f t="shared" si="11"/>
        <v>0</v>
      </c>
      <c r="AA16" s="150">
        <f t="shared" si="12"/>
        <v>0</v>
      </c>
      <c r="AB16" s="151"/>
      <c r="AE16" s="582">
        <f t="shared" si="13"/>
        <v>0</v>
      </c>
      <c r="AF16" s="582">
        <f t="shared" si="14"/>
        <v>0</v>
      </c>
    </row>
    <row r="17" spans="1:32" ht="18" customHeight="1">
      <c r="A17" s="120">
        <v>20</v>
      </c>
      <c r="B17" s="220" t="s">
        <v>260</v>
      </c>
      <c r="C17" s="221" t="s">
        <v>57</v>
      </c>
      <c r="D17" s="222">
        <v>-1</v>
      </c>
      <c r="E17" s="223" t="s">
        <v>280</v>
      </c>
      <c r="F17" s="63" t="s">
        <v>281</v>
      </c>
      <c r="G17" s="63" t="s">
        <v>271</v>
      </c>
      <c r="H17" s="51" t="s">
        <v>272</v>
      </c>
      <c r="I17" s="145">
        <v>46.4</v>
      </c>
      <c r="J17" s="213" t="s">
        <v>161</v>
      </c>
      <c r="K17" s="146">
        <f t="shared" si="0"/>
        <v>0</v>
      </c>
      <c r="L17" s="147">
        <f t="shared" si="1"/>
        <v>0</v>
      </c>
      <c r="M17" s="147">
        <f t="shared" si="2"/>
        <v>0</v>
      </c>
      <c r="N17" s="147">
        <f t="shared" si="3"/>
        <v>0</v>
      </c>
      <c r="O17" s="147">
        <f t="shared" si="4"/>
        <v>0</v>
      </c>
      <c r="P17" s="148">
        <f t="shared" si="5"/>
        <v>0</v>
      </c>
      <c r="Q17" s="147">
        <f t="shared" si="6"/>
        <v>0</v>
      </c>
      <c r="R17" s="147">
        <f t="shared" si="7"/>
        <v>0</v>
      </c>
      <c r="S17" s="147">
        <f t="shared" si="8"/>
        <v>0</v>
      </c>
      <c r="T17" s="200" t="str">
        <f t="shared" si="9"/>
        <v>nvt</v>
      </c>
      <c r="U17" s="214">
        <v>1</v>
      </c>
      <c r="V17" s="214">
        <v>1</v>
      </c>
      <c r="W17" s="214">
        <v>1</v>
      </c>
      <c r="X17" s="214">
        <v>1</v>
      </c>
      <c r="Y17" s="142"/>
      <c r="Z17" s="149">
        <f t="shared" si="11"/>
        <v>0</v>
      </c>
      <c r="AA17" s="150">
        <f t="shared" si="12"/>
        <v>0</v>
      </c>
      <c r="AB17" s="151"/>
      <c r="AE17" s="582">
        <f t="shared" si="13"/>
        <v>0</v>
      </c>
      <c r="AF17" s="582">
        <f t="shared" si="14"/>
        <v>0</v>
      </c>
    </row>
    <row r="18" spans="1:32" ht="18" customHeight="1">
      <c r="A18" s="120">
        <v>21</v>
      </c>
      <c r="B18" s="220" t="s">
        <v>260</v>
      </c>
      <c r="C18" s="221" t="s">
        <v>57</v>
      </c>
      <c r="D18" s="222">
        <v>-1</v>
      </c>
      <c r="E18" s="223" t="s">
        <v>282</v>
      </c>
      <c r="F18" s="63" t="s">
        <v>283</v>
      </c>
      <c r="G18" s="63" t="s">
        <v>271</v>
      </c>
      <c r="H18" s="51" t="s">
        <v>279</v>
      </c>
      <c r="I18" s="145">
        <v>36.700000000000003</v>
      </c>
      <c r="J18" s="213" t="s">
        <v>161</v>
      </c>
      <c r="K18" s="146">
        <f t="shared" si="0"/>
        <v>0</v>
      </c>
      <c r="L18" s="147">
        <f t="shared" si="1"/>
        <v>0</v>
      </c>
      <c r="M18" s="147">
        <f t="shared" si="2"/>
        <v>0</v>
      </c>
      <c r="N18" s="147">
        <f t="shared" si="3"/>
        <v>0</v>
      </c>
      <c r="O18" s="147">
        <f t="shared" si="4"/>
        <v>0</v>
      </c>
      <c r="P18" s="148">
        <f t="shared" si="5"/>
        <v>0</v>
      </c>
      <c r="Q18" s="147">
        <f t="shared" si="6"/>
        <v>0</v>
      </c>
      <c r="R18" s="147">
        <f t="shared" si="7"/>
        <v>0</v>
      </c>
      <c r="S18" s="147">
        <f t="shared" si="8"/>
        <v>0</v>
      </c>
      <c r="T18" s="200" t="str">
        <f t="shared" si="9"/>
        <v>nvt</v>
      </c>
      <c r="U18" s="214">
        <v>1</v>
      </c>
      <c r="V18" s="214">
        <v>1</v>
      </c>
      <c r="W18" s="214">
        <v>1</v>
      </c>
      <c r="X18" s="214">
        <v>1</v>
      </c>
      <c r="Y18" s="142"/>
      <c r="Z18" s="149">
        <f t="shared" si="11"/>
        <v>0</v>
      </c>
      <c r="AA18" s="150">
        <f t="shared" si="12"/>
        <v>0</v>
      </c>
      <c r="AB18" s="151"/>
      <c r="AE18" s="582">
        <f t="shared" si="13"/>
        <v>0</v>
      </c>
      <c r="AF18" s="582">
        <f t="shared" si="14"/>
        <v>0</v>
      </c>
    </row>
    <row r="19" spans="1:32" ht="18" customHeight="1">
      <c r="A19" s="120">
        <v>23</v>
      </c>
      <c r="B19" s="220" t="s">
        <v>260</v>
      </c>
      <c r="C19" s="221" t="s">
        <v>57</v>
      </c>
      <c r="D19" s="222">
        <v>-1</v>
      </c>
      <c r="E19" s="223" t="s">
        <v>282</v>
      </c>
      <c r="F19" s="63" t="s">
        <v>283</v>
      </c>
      <c r="G19" s="63" t="s">
        <v>271</v>
      </c>
      <c r="H19" s="51" t="s">
        <v>76</v>
      </c>
      <c r="I19" s="145">
        <v>24.8</v>
      </c>
      <c r="J19" s="213" t="s">
        <v>161</v>
      </c>
      <c r="K19" s="146">
        <f t="shared" si="0"/>
        <v>0</v>
      </c>
      <c r="L19" s="147">
        <f t="shared" si="1"/>
        <v>0</v>
      </c>
      <c r="M19" s="147">
        <f t="shared" si="2"/>
        <v>0</v>
      </c>
      <c r="N19" s="147">
        <f t="shared" si="3"/>
        <v>0</v>
      </c>
      <c r="O19" s="147">
        <f t="shared" si="4"/>
        <v>0</v>
      </c>
      <c r="P19" s="148">
        <f t="shared" si="5"/>
        <v>0</v>
      </c>
      <c r="Q19" s="147">
        <f t="shared" si="6"/>
        <v>0</v>
      </c>
      <c r="R19" s="147">
        <f t="shared" si="7"/>
        <v>0</v>
      </c>
      <c r="S19" s="147">
        <f t="shared" si="8"/>
        <v>0</v>
      </c>
      <c r="T19" s="200" t="str">
        <f t="shared" si="9"/>
        <v>nvt</v>
      </c>
      <c r="U19" s="214">
        <v>1</v>
      </c>
      <c r="V19" s="214">
        <v>1</v>
      </c>
      <c r="W19" s="214">
        <v>1</v>
      </c>
      <c r="X19" s="214">
        <v>1</v>
      </c>
      <c r="Y19" s="142"/>
      <c r="Z19" s="149">
        <f t="shared" si="11"/>
        <v>0</v>
      </c>
      <c r="AA19" s="150">
        <f t="shared" si="12"/>
        <v>0</v>
      </c>
      <c r="AB19" s="151"/>
      <c r="AE19" s="582">
        <f t="shared" si="13"/>
        <v>0</v>
      </c>
      <c r="AF19" s="582">
        <f t="shared" si="14"/>
        <v>24.8</v>
      </c>
    </row>
    <row r="20" spans="1:32" ht="18" customHeight="1">
      <c r="A20" s="120">
        <v>24</v>
      </c>
      <c r="B20" s="220" t="s">
        <v>260</v>
      </c>
      <c r="C20" s="221" t="s">
        <v>57</v>
      </c>
      <c r="D20" s="222">
        <v>-1</v>
      </c>
      <c r="E20" s="223" t="s">
        <v>284</v>
      </c>
      <c r="F20" s="63" t="s">
        <v>281</v>
      </c>
      <c r="G20" s="63" t="s">
        <v>271</v>
      </c>
      <c r="H20" s="51" t="s">
        <v>279</v>
      </c>
      <c r="I20" s="145">
        <v>7.3</v>
      </c>
      <c r="J20" s="213" t="s">
        <v>161</v>
      </c>
      <c r="K20" s="146">
        <f t="shared" si="0"/>
        <v>0</v>
      </c>
      <c r="L20" s="147">
        <f t="shared" si="1"/>
        <v>0</v>
      </c>
      <c r="M20" s="147">
        <f t="shared" si="2"/>
        <v>0</v>
      </c>
      <c r="N20" s="147">
        <f t="shared" si="3"/>
        <v>0</v>
      </c>
      <c r="O20" s="147">
        <f t="shared" si="4"/>
        <v>0</v>
      </c>
      <c r="P20" s="148">
        <f t="shared" si="5"/>
        <v>0</v>
      </c>
      <c r="Q20" s="147">
        <f t="shared" si="6"/>
        <v>0</v>
      </c>
      <c r="R20" s="147">
        <f t="shared" si="7"/>
        <v>0</v>
      </c>
      <c r="S20" s="147">
        <f t="shared" si="8"/>
        <v>0</v>
      </c>
      <c r="T20" s="200" t="str">
        <f t="shared" si="9"/>
        <v>nvt</v>
      </c>
      <c r="U20" s="214">
        <v>1</v>
      </c>
      <c r="V20" s="214">
        <v>1</v>
      </c>
      <c r="W20" s="214">
        <v>1</v>
      </c>
      <c r="X20" s="214">
        <v>1</v>
      </c>
      <c r="Y20" s="142"/>
      <c r="Z20" s="149">
        <f t="shared" si="11"/>
        <v>0</v>
      </c>
      <c r="AA20" s="150">
        <f t="shared" si="12"/>
        <v>0</v>
      </c>
      <c r="AB20" s="151"/>
      <c r="AE20" s="582">
        <f t="shared" si="13"/>
        <v>0</v>
      </c>
      <c r="AF20" s="582">
        <f t="shared" si="14"/>
        <v>0</v>
      </c>
    </row>
    <row r="21" spans="1:32" ht="18" customHeight="1">
      <c r="A21" s="120">
        <v>25</v>
      </c>
      <c r="B21" s="220" t="s">
        <v>260</v>
      </c>
      <c r="C21" s="221" t="s">
        <v>57</v>
      </c>
      <c r="D21" s="222">
        <v>-1</v>
      </c>
      <c r="E21" s="223" t="s">
        <v>285</v>
      </c>
      <c r="F21" s="63" t="s">
        <v>144</v>
      </c>
      <c r="G21" s="63" t="s">
        <v>271</v>
      </c>
      <c r="H21" s="51" t="s">
        <v>279</v>
      </c>
      <c r="I21" s="145">
        <v>11.2</v>
      </c>
      <c r="J21" s="213" t="s">
        <v>161</v>
      </c>
      <c r="K21" s="146">
        <f t="shared" si="0"/>
        <v>0</v>
      </c>
      <c r="L21" s="147">
        <f t="shared" si="1"/>
        <v>0</v>
      </c>
      <c r="M21" s="147">
        <f t="shared" si="2"/>
        <v>0</v>
      </c>
      <c r="N21" s="147">
        <f t="shared" si="3"/>
        <v>0</v>
      </c>
      <c r="O21" s="147">
        <f t="shared" si="4"/>
        <v>0</v>
      </c>
      <c r="P21" s="148">
        <f t="shared" si="5"/>
        <v>0</v>
      </c>
      <c r="Q21" s="147">
        <f t="shared" si="6"/>
        <v>0</v>
      </c>
      <c r="R21" s="147">
        <f t="shared" si="7"/>
        <v>0</v>
      </c>
      <c r="S21" s="147">
        <f t="shared" si="8"/>
        <v>0</v>
      </c>
      <c r="T21" s="200" t="str">
        <f t="shared" si="9"/>
        <v>nvt</v>
      </c>
      <c r="U21" s="214">
        <v>1</v>
      </c>
      <c r="V21" s="214">
        <v>1</v>
      </c>
      <c r="W21" s="214">
        <v>1</v>
      </c>
      <c r="X21" s="214">
        <v>1</v>
      </c>
      <c r="Y21" s="142"/>
      <c r="Z21" s="149">
        <f t="shared" si="11"/>
        <v>0</v>
      </c>
      <c r="AA21" s="150">
        <f t="shared" si="12"/>
        <v>0</v>
      </c>
      <c r="AB21" s="151"/>
      <c r="AE21" s="582">
        <f t="shared" si="13"/>
        <v>0</v>
      </c>
      <c r="AF21" s="582">
        <f t="shared" si="14"/>
        <v>0</v>
      </c>
    </row>
    <row r="22" spans="1:32" ht="18" customHeight="1">
      <c r="A22" s="120">
        <v>26</v>
      </c>
      <c r="B22" s="220" t="s">
        <v>260</v>
      </c>
      <c r="C22" s="221" t="s">
        <v>57</v>
      </c>
      <c r="D22" s="222">
        <v>-1</v>
      </c>
      <c r="E22" s="223" t="s">
        <v>286</v>
      </c>
      <c r="F22" s="63" t="s">
        <v>283</v>
      </c>
      <c r="G22" s="63" t="s">
        <v>271</v>
      </c>
      <c r="H22" s="51" t="s">
        <v>279</v>
      </c>
      <c r="I22" s="145">
        <v>11.2</v>
      </c>
      <c r="J22" s="213" t="s">
        <v>161</v>
      </c>
      <c r="K22" s="146">
        <f t="shared" si="0"/>
        <v>0</v>
      </c>
      <c r="L22" s="147">
        <f t="shared" si="1"/>
        <v>0</v>
      </c>
      <c r="M22" s="147">
        <f t="shared" si="2"/>
        <v>0</v>
      </c>
      <c r="N22" s="147">
        <f t="shared" si="3"/>
        <v>0</v>
      </c>
      <c r="O22" s="147">
        <f t="shared" si="4"/>
        <v>0</v>
      </c>
      <c r="P22" s="148">
        <f t="shared" si="5"/>
        <v>0</v>
      </c>
      <c r="Q22" s="147">
        <f t="shared" si="6"/>
        <v>0</v>
      </c>
      <c r="R22" s="147">
        <f t="shared" si="7"/>
        <v>0</v>
      </c>
      <c r="S22" s="147">
        <f t="shared" si="8"/>
        <v>0</v>
      </c>
      <c r="T22" s="200" t="str">
        <f t="shared" si="9"/>
        <v>nvt</v>
      </c>
      <c r="U22" s="214">
        <v>1</v>
      </c>
      <c r="V22" s="214">
        <v>1</v>
      </c>
      <c r="W22" s="214">
        <v>1</v>
      </c>
      <c r="X22" s="214">
        <v>1</v>
      </c>
      <c r="Y22" s="142"/>
      <c r="Z22" s="149">
        <f t="shared" si="11"/>
        <v>0</v>
      </c>
      <c r="AA22" s="150">
        <f t="shared" si="12"/>
        <v>0</v>
      </c>
      <c r="AB22" s="151"/>
      <c r="AE22" s="582">
        <f t="shared" si="13"/>
        <v>0</v>
      </c>
      <c r="AF22" s="582">
        <f t="shared" si="14"/>
        <v>0</v>
      </c>
    </row>
    <row r="23" spans="1:32" ht="18" customHeight="1">
      <c r="A23" s="120">
        <v>27</v>
      </c>
      <c r="B23" s="220" t="s">
        <v>260</v>
      </c>
      <c r="C23" s="221" t="s">
        <v>57</v>
      </c>
      <c r="D23" s="222">
        <v>-1</v>
      </c>
      <c r="E23" s="223" t="s">
        <v>287</v>
      </c>
      <c r="F23" s="63" t="s">
        <v>283</v>
      </c>
      <c r="G23" s="63" t="s">
        <v>271</v>
      </c>
      <c r="H23" s="51" t="s">
        <v>279</v>
      </c>
      <c r="I23" s="145">
        <v>21.6</v>
      </c>
      <c r="J23" s="213" t="s">
        <v>161</v>
      </c>
      <c r="K23" s="146">
        <f t="shared" si="0"/>
        <v>0</v>
      </c>
      <c r="L23" s="147">
        <f t="shared" si="1"/>
        <v>0</v>
      </c>
      <c r="M23" s="147">
        <f t="shared" si="2"/>
        <v>0</v>
      </c>
      <c r="N23" s="147">
        <f t="shared" si="3"/>
        <v>0</v>
      </c>
      <c r="O23" s="147">
        <f t="shared" si="4"/>
        <v>0</v>
      </c>
      <c r="P23" s="148">
        <f t="shared" si="5"/>
        <v>0</v>
      </c>
      <c r="Q23" s="147">
        <f t="shared" si="6"/>
        <v>0</v>
      </c>
      <c r="R23" s="147">
        <f t="shared" si="7"/>
        <v>0</v>
      </c>
      <c r="S23" s="147">
        <f t="shared" si="8"/>
        <v>0</v>
      </c>
      <c r="T23" s="200" t="str">
        <f t="shared" si="9"/>
        <v>nvt</v>
      </c>
      <c r="U23" s="214">
        <v>1</v>
      </c>
      <c r="V23" s="214">
        <v>1</v>
      </c>
      <c r="W23" s="214">
        <v>1</v>
      </c>
      <c r="X23" s="214">
        <v>1</v>
      </c>
      <c r="Y23" s="142"/>
      <c r="Z23" s="149">
        <f t="shared" si="11"/>
        <v>0</v>
      </c>
      <c r="AA23" s="150">
        <f t="shared" si="12"/>
        <v>0</v>
      </c>
      <c r="AB23" s="151"/>
      <c r="AE23" s="582">
        <f t="shared" si="13"/>
        <v>0</v>
      </c>
      <c r="AF23" s="582">
        <f t="shared" si="14"/>
        <v>0</v>
      </c>
    </row>
    <row r="24" spans="1:32" ht="18" customHeight="1">
      <c r="A24" s="120">
        <v>28</v>
      </c>
      <c r="B24" s="220" t="s">
        <v>260</v>
      </c>
      <c r="C24" s="221" t="s">
        <v>57</v>
      </c>
      <c r="D24" s="222">
        <v>-1</v>
      </c>
      <c r="E24" s="223" t="s">
        <v>288</v>
      </c>
      <c r="F24" s="63" t="s">
        <v>283</v>
      </c>
      <c r="G24" s="63" t="s">
        <v>271</v>
      </c>
      <c r="H24" s="51" t="s">
        <v>279</v>
      </c>
      <c r="I24" s="145">
        <v>16.8</v>
      </c>
      <c r="J24" s="213" t="s">
        <v>161</v>
      </c>
      <c r="K24" s="146">
        <f t="shared" si="0"/>
        <v>0</v>
      </c>
      <c r="L24" s="147">
        <f t="shared" si="1"/>
        <v>0</v>
      </c>
      <c r="M24" s="147">
        <f t="shared" si="2"/>
        <v>0</v>
      </c>
      <c r="N24" s="147">
        <f t="shared" si="3"/>
        <v>0</v>
      </c>
      <c r="O24" s="147">
        <f t="shared" si="4"/>
        <v>0</v>
      </c>
      <c r="P24" s="148">
        <f t="shared" si="5"/>
        <v>0</v>
      </c>
      <c r="Q24" s="147">
        <f t="shared" si="6"/>
        <v>0</v>
      </c>
      <c r="R24" s="147">
        <f t="shared" si="7"/>
        <v>0</v>
      </c>
      <c r="S24" s="147">
        <f t="shared" si="8"/>
        <v>0</v>
      </c>
      <c r="T24" s="200" t="str">
        <f t="shared" si="9"/>
        <v>nvt</v>
      </c>
      <c r="U24" s="214">
        <v>1</v>
      </c>
      <c r="V24" s="214">
        <v>1</v>
      </c>
      <c r="W24" s="214">
        <v>1</v>
      </c>
      <c r="X24" s="214">
        <v>1</v>
      </c>
      <c r="Y24" s="142"/>
      <c r="Z24" s="149">
        <f t="shared" si="11"/>
        <v>0</v>
      </c>
      <c r="AA24" s="150">
        <f t="shared" si="12"/>
        <v>0</v>
      </c>
      <c r="AB24" s="151"/>
      <c r="AE24" s="582">
        <f t="shared" si="13"/>
        <v>0</v>
      </c>
      <c r="AF24" s="582">
        <f t="shared" si="14"/>
        <v>0</v>
      </c>
    </row>
    <row r="25" spans="1:32" ht="18" customHeight="1">
      <c r="A25" s="120">
        <v>29</v>
      </c>
      <c r="B25" s="220" t="s">
        <v>260</v>
      </c>
      <c r="C25" s="221" t="s">
        <v>57</v>
      </c>
      <c r="D25" s="222">
        <v>-1</v>
      </c>
      <c r="E25" s="223" t="s">
        <v>289</v>
      </c>
      <c r="F25" s="63" t="s">
        <v>283</v>
      </c>
      <c r="G25" s="63" t="s">
        <v>271</v>
      </c>
      <c r="H25" s="51" t="s">
        <v>279</v>
      </c>
      <c r="I25" s="145">
        <v>27.2</v>
      </c>
      <c r="J25" s="213" t="s">
        <v>161</v>
      </c>
      <c r="K25" s="146">
        <f t="shared" si="0"/>
        <v>0</v>
      </c>
      <c r="L25" s="147">
        <f t="shared" si="1"/>
        <v>0</v>
      </c>
      <c r="M25" s="147">
        <f t="shared" si="2"/>
        <v>0</v>
      </c>
      <c r="N25" s="147">
        <f t="shared" si="3"/>
        <v>0</v>
      </c>
      <c r="O25" s="147">
        <f t="shared" si="4"/>
        <v>0</v>
      </c>
      <c r="P25" s="148">
        <f t="shared" si="5"/>
        <v>0</v>
      </c>
      <c r="Q25" s="147">
        <f t="shared" si="6"/>
        <v>0</v>
      </c>
      <c r="R25" s="147">
        <f t="shared" si="7"/>
        <v>0</v>
      </c>
      <c r="S25" s="147">
        <f t="shared" si="8"/>
        <v>0</v>
      </c>
      <c r="T25" s="200" t="str">
        <f t="shared" si="9"/>
        <v>nvt</v>
      </c>
      <c r="U25" s="214">
        <v>1</v>
      </c>
      <c r="V25" s="214">
        <v>1</v>
      </c>
      <c r="W25" s="214">
        <v>1</v>
      </c>
      <c r="X25" s="214">
        <v>1</v>
      </c>
      <c r="Y25" s="142"/>
      <c r="Z25" s="149">
        <f t="shared" si="11"/>
        <v>0</v>
      </c>
      <c r="AA25" s="150">
        <f t="shared" si="12"/>
        <v>0</v>
      </c>
      <c r="AB25" s="151"/>
      <c r="AE25" s="582">
        <f t="shared" si="13"/>
        <v>0</v>
      </c>
      <c r="AF25" s="582">
        <f t="shared" si="14"/>
        <v>0</v>
      </c>
    </row>
    <row r="26" spans="1:32" ht="18" customHeight="1">
      <c r="A26" s="120">
        <v>30</v>
      </c>
      <c r="B26" s="220" t="s">
        <v>260</v>
      </c>
      <c r="C26" s="221" t="s">
        <v>57</v>
      </c>
      <c r="D26" s="222">
        <v>-1</v>
      </c>
      <c r="E26" s="223" t="s">
        <v>290</v>
      </c>
      <c r="F26" s="63" t="s">
        <v>291</v>
      </c>
      <c r="G26" s="63" t="s">
        <v>271</v>
      </c>
      <c r="H26" s="51" t="s">
        <v>279</v>
      </c>
      <c r="I26" s="145">
        <v>365</v>
      </c>
      <c r="J26" s="213" t="s">
        <v>161</v>
      </c>
      <c r="K26" s="146">
        <f t="shared" si="0"/>
        <v>0</v>
      </c>
      <c r="L26" s="147">
        <f t="shared" si="1"/>
        <v>0</v>
      </c>
      <c r="M26" s="147">
        <f t="shared" si="2"/>
        <v>0</v>
      </c>
      <c r="N26" s="147">
        <f t="shared" si="3"/>
        <v>0</v>
      </c>
      <c r="O26" s="147">
        <f t="shared" si="4"/>
        <v>0</v>
      </c>
      <c r="P26" s="148">
        <f t="shared" si="5"/>
        <v>0</v>
      </c>
      <c r="Q26" s="147">
        <f t="shared" si="6"/>
        <v>0</v>
      </c>
      <c r="R26" s="147">
        <f t="shared" si="7"/>
        <v>0</v>
      </c>
      <c r="S26" s="147">
        <f t="shared" si="8"/>
        <v>0</v>
      </c>
      <c r="T26" s="200" t="str">
        <f t="shared" si="9"/>
        <v>nvt</v>
      </c>
      <c r="U26" s="214">
        <v>1</v>
      </c>
      <c r="V26" s="214">
        <v>1</v>
      </c>
      <c r="W26" s="214">
        <v>1</v>
      </c>
      <c r="X26" s="214">
        <v>1</v>
      </c>
      <c r="Y26" s="142"/>
      <c r="Z26" s="149">
        <f t="shared" si="11"/>
        <v>0</v>
      </c>
      <c r="AA26" s="150">
        <f t="shared" si="12"/>
        <v>0</v>
      </c>
      <c r="AB26" s="151"/>
      <c r="AE26" s="582">
        <f t="shared" si="13"/>
        <v>0</v>
      </c>
      <c r="AF26" s="582">
        <f t="shared" si="14"/>
        <v>0</v>
      </c>
    </row>
    <row r="27" spans="1:32" ht="18" customHeight="1">
      <c r="A27" s="120">
        <v>31</v>
      </c>
      <c r="B27" s="220" t="s">
        <v>260</v>
      </c>
      <c r="C27" s="221" t="s">
        <v>57</v>
      </c>
      <c r="D27" s="222">
        <v>-1</v>
      </c>
      <c r="E27" s="223" t="s">
        <v>292</v>
      </c>
      <c r="F27" s="63" t="s">
        <v>291</v>
      </c>
      <c r="G27" s="63" t="s">
        <v>271</v>
      </c>
      <c r="H27" s="51" t="s">
        <v>279</v>
      </c>
      <c r="I27" s="145">
        <v>535</v>
      </c>
      <c r="J27" s="213" t="s">
        <v>161</v>
      </c>
      <c r="K27" s="146">
        <f t="shared" si="0"/>
        <v>0</v>
      </c>
      <c r="L27" s="147">
        <f t="shared" si="1"/>
        <v>0</v>
      </c>
      <c r="M27" s="147">
        <f t="shared" si="2"/>
        <v>0</v>
      </c>
      <c r="N27" s="147">
        <f t="shared" si="3"/>
        <v>0</v>
      </c>
      <c r="O27" s="147">
        <f t="shared" si="4"/>
        <v>0</v>
      </c>
      <c r="P27" s="148">
        <f t="shared" si="5"/>
        <v>0</v>
      </c>
      <c r="Q27" s="147">
        <f t="shared" si="6"/>
        <v>0</v>
      </c>
      <c r="R27" s="147">
        <f t="shared" si="7"/>
        <v>0</v>
      </c>
      <c r="S27" s="147">
        <f t="shared" si="8"/>
        <v>0</v>
      </c>
      <c r="T27" s="200" t="str">
        <f t="shared" si="9"/>
        <v>nvt</v>
      </c>
      <c r="U27" s="214">
        <v>1</v>
      </c>
      <c r="V27" s="214">
        <v>1</v>
      </c>
      <c r="W27" s="214">
        <v>1</v>
      </c>
      <c r="X27" s="214">
        <v>1</v>
      </c>
      <c r="Y27" s="142"/>
      <c r="Z27" s="149">
        <f t="shared" si="11"/>
        <v>0</v>
      </c>
      <c r="AA27" s="150">
        <f t="shared" si="12"/>
        <v>0</v>
      </c>
      <c r="AB27" s="151"/>
      <c r="AE27" s="582">
        <f t="shared" si="13"/>
        <v>0</v>
      </c>
      <c r="AF27" s="582">
        <f t="shared" si="14"/>
        <v>0</v>
      </c>
    </row>
    <row r="28" spans="1:32" ht="18" customHeight="1">
      <c r="A28" s="120">
        <v>32</v>
      </c>
      <c r="B28" s="220" t="s">
        <v>260</v>
      </c>
      <c r="C28" s="221" t="s">
        <v>57</v>
      </c>
      <c r="D28" s="222">
        <v>-1</v>
      </c>
      <c r="E28" s="223" t="s">
        <v>293</v>
      </c>
      <c r="F28" s="63" t="s">
        <v>294</v>
      </c>
      <c r="G28" s="63" t="s">
        <v>271</v>
      </c>
      <c r="H28" s="51" t="s">
        <v>279</v>
      </c>
      <c r="I28" s="145">
        <v>6.6</v>
      </c>
      <c r="J28" s="213" t="s">
        <v>161</v>
      </c>
      <c r="K28" s="146">
        <f t="shared" si="0"/>
        <v>0</v>
      </c>
      <c r="L28" s="147">
        <f t="shared" si="1"/>
        <v>0</v>
      </c>
      <c r="M28" s="147">
        <f t="shared" si="2"/>
        <v>0</v>
      </c>
      <c r="N28" s="147">
        <f t="shared" si="3"/>
        <v>0</v>
      </c>
      <c r="O28" s="147">
        <f t="shared" si="4"/>
        <v>0</v>
      </c>
      <c r="P28" s="148">
        <f t="shared" si="5"/>
        <v>0</v>
      </c>
      <c r="Q28" s="147">
        <f t="shared" si="6"/>
        <v>0</v>
      </c>
      <c r="R28" s="147">
        <f t="shared" si="7"/>
        <v>0</v>
      </c>
      <c r="S28" s="147">
        <f t="shared" si="8"/>
        <v>0</v>
      </c>
      <c r="T28" s="200" t="str">
        <f t="shared" si="9"/>
        <v>nvt</v>
      </c>
      <c r="U28" s="214">
        <v>1</v>
      </c>
      <c r="V28" s="214">
        <v>1</v>
      </c>
      <c r="W28" s="214">
        <v>1</v>
      </c>
      <c r="X28" s="214">
        <v>1</v>
      </c>
      <c r="Y28" s="142"/>
      <c r="Z28" s="149">
        <f t="shared" si="11"/>
        <v>0</v>
      </c>
      <c r="AA28" s="150">
        <f t="shared" si="12"/>
        <v>0</v>
      </c>
      <c r="AB28" s="151"/>
      <c r="AE28" s="582">
        <f t="shared" si="13"/>
        <v>0</v>
      </c>
      <c r="AF28" s="582">
        <f t="shared" si="14"/>
        <v>0</v>
      </c>
    </row>
    <row r="29" spans="1:32" ht="18" customHeight="1">
      <c r="A29" s="120">
        <v>33</v>
      </c>
      <c r="B29" s="220" t="s">
        <v>260</v>
      </c>
      <c r="C29" s="221" t="s">
        <v>57</v>
      </c>
      <c r="D29" s="222">
        <v>-1</v>
      </c>
      <c r="E29" s="223" t="s">
        <v>295</v>
      </c>
      <c r="F29" s="63" t="s">
        <v>281</v>
      </c>
      <c r="G29" s="63" t="s">
        <v>271</v>
      </c>
      <c r="H29" s="51" t="s">
        <v>76</v>
      </c>
      <c r="I29" s="145">
        <v>5.9</v>
      </c>
      <c r="J29" s="213">
        <v>5255</v>
      </c>
      <c r="K29" s="146">
        <f t="shared" si="0"/>
        <v>255</v>
      </c>
      <c r="L29" s="147">
        <f t="shared" si="1"/>
        <v>4.6197000000000008</v>
      </c>
      <c r="M29" s="147">
        <f t="shared" si="2"/>
        <v>0</v>
      </c>
      <c r="N29" s="147">
        <f t="shared" si="3"/>
        <v>0</v>
      </c>
      <c r="O29" s="147">
        <f t="shared" si="4"/>
        <v>0</v>
      </c>
      <c r="P29" s="148">
        <f t="shared" si="5"/>
        <v>0.78300000000000003</v>
      </c>
      <c r="Q29" s="147">
        <f t="shared" si="6"/>
        <v>0</v>
      </c>
      <c r="R29" s="147">
        <f t="shared" si="7"/>
        <v>0</v>
      </c>
      <c r="S29" s="147">
        <f t="shared" si="8"/>
        <v>0</v>
      </c>
      <c r="T29" s="200" t="str">
        <f t="shared" si="9"/>
        <v>V</v>
      </c>
      <c r="U29" s="214">
        <v>1</v>
      </c>
      <c r="V29" s="214">
        <v>1</v>
      </c>
      <c r="W29" s="214">
        <v>1</v>
      </c>
      <c r="X29" s="214">
        <v>1</v>
      </c>
      <c r="Y29" s="142"/>
      <c r="Z29" s="149">
        <f t="shared" si="11"/>
        <v>1504.5</v>
      </c>
      <c r="AA29" s="150">
        <f t="shared" si="12"/>
        <v>4.6197000000000008</v>
      </c>
      <c r="AB29" s="151"/>
      <c r="AE29" s="582">
        <f t="shared" si="13"/>
        <v>0</v>
      </c>
      <c r="AF29" s="582">
        <f t="shared" si="14"/>
        <v>5.9</v>
      </c>
    </row>
    <row r="30" spans="1:32" ht="18" customHeight="1">
      <c r="A30" s="120">
        <v>33</v>
      </c>
      <c r="B30" s="220" t="s">
        <v>260</v>
      </c>
      <c r="C30" s="221" t="s">
        <v>57</v>
      </c>
      <c r="D30" s="222">
        <v>-1</v>
      </c>
      <c r="E30" s="223" t="s">
        <v>295</v>
      </c>
      <c r="F30" s="63" t="s">
        <v>281</v>
      </c>
      <c r="G30" s="63" t="s">
        <v>271</v>
      </c>
      <c r="H30" s="51" t="s">
        <v>296</v>
      </c>
      <c r="I30" s="145">
        <v>12.7</v>
      </c>
      <c r="J30" s="213">
        <v>5255</v>
      </c>
      <c r="K30" s="146">
        <f t="shared" ref="K30" si="15">SUM(IF(J30="",0,VLOOKUP(J30,Kengetal,2)))</f>
        <v>255</v>
      </c>
      <c r="L30" s="147">
        <f t="shared" ref="L30" si="16">P30*I30*U30</f>
        <v>9.9441000000000006</v>
      </c>
      <c r="M30" s="147">
        <f t="shared" ref="M30" si="17">Q30*I30*V30</f>
        <v>0</v>
      </c>
      <c r="N30" s="147">
        <f t="shared" ref="N30" si="18">R30*I30*W30</f>
        <v>0</v>
      </c>
      <c r="O30" s="147">
        <f t="shared" ref="O30" si="19">S30*I30*X30</f>
        <v>0</v>
      </c>
      <c r="P30" s="148">
        <f t="shared" si="5"/>
        <v>0.78300000000000003</v>
      </c>
      <c r="Q30" s="147">
        <f t="shared" si="6"/>
        <v>0</v>
      </c>
      <c r="R30" s="147">
        <f t="shared" si="7"/>
        <v>0</v>
      </c>
      <c r="S30" s="147">
        <f t="shared" si="8"/>
        <v>0</v>
      </c>
      <c r="T30" s="200" t="str">
        <f t="shared" ref="T30" si="20">IF(J30="","",VLOOKUP(J30,Kengetal,13,FALSE))</f>
        <v>V</v>
      </c>
      <c r="U30" s="214">
        <v>1</v>
      </c>
      <c r="V30" s="214">
        <v>1</v>
      </c>
      <c r="W30" s="214">
        <v>1</v>
      </c>
      <c r="X30" s="214">
        <v>1</v>
      </c>
      <c r="Y30" s="142"/>
      <c r="Z30" s="149">
        <f t="shared" si="11"/>
        <v>3238.5</v>
      </c>
      <c r="AA30" s="150">
        <f t="shared" si="12"/>
        <v>9.9441000000000006</v>
      </c>
      <c r="AB30" s="151"/>
      <c r="AE30" s="582">
        <f t="shared" si="13"/>
        <v>0</v>
      </c>
      <c r="AF30" s="582">
        <f t="shared" si="14"/>
        <v>0</v>
      </c>
    </row>
    <row r="31" spans="1:32" ht="18" customHeight="1">
      <c r="A31" s="120">
        <v>34</v>
      </c>
      <c r="B31" s="220" t="s">
        <v>260</v>
      </c>
      <c r="C31" s="221" t="s">
        <v>57</v>
      </c>
      <c r="D31" s="222">
        <v>-1</v>
      </c>
      <c r="E31" s="223" t="s">
        <v>297</v>
      </c>
      <c r="F31" s="63" t="s">
        <v>283</v>
      </c>
      <c r="G31" s="63" t="s">
        <v>271</v>
      </c>
      <c r="H31" s="51" t="s">
        <v>279</v>
      </c>
      <c r="I31" s="145">
        <v>2.1</v>
      </c>
      <c r="J31" s="213" t="s">
        <v>161</v>
      </c>
      <c r="K31" s="146">
        <f t="shared" si="0"/>
        <v>0</v>
      </c>
      <c r="L31" s="147">
        <f t="shared" si="1"/>
        <v>0</v>
      </c>
      <c r="M31" s="147">
        <f t="shared" si="2"/>
        <v>0</v>
      </c>
      <c r="N31" s="147">
        <f t="shared" si="3"/>
        <v>0</v>
      </c>
      <c r="O31" s="147">
        <f t="shared" si="4"/>
        <v>0</v>
      </c>
      <c r="P31" s="148">
        <f t="shared" si="5"/>
        <v>0</v>
      </c>
      <c r="Q31" s="147">
        <f t="shared" si="6"/>
        <v>0</v>
      </c>
      <c r="R31" s="147">
        <f t="shared" si="7"/>
        <v>0</v>
      </c>
      <c r="S31" s="147">
        <f t="shared" si="8"/>
        <v>0</v>
      </c>
      <c r="T31" s="200" t="str">
        <f t="shared" si="9"/>
        <v>nvt</v>
      </c>
      <c r="U31" s="214">
        <v>1</v>
      </c>
      <c r="V31" s="214">
        <v>1</v>
      </c>
      <c r="W31" s="214">
        <v>1</v>
      </c>
      <c r="X31" s="214">
        <v>1</v>
      </c>
      <c r="Y31" s="142"/>
      <c r="Z31" s="149">
        <f t="shared" si="11"/>
        <v>0</v>
      </c>
      <c r="AA31" s="150">
        <f t="shared" si="12"/>
        <v>0</v>
      </c>
      <c r="AB31" s="151"/>
      <c r="AE31" s="582">
        <f t="shared" si="13"/>
        <v>0</v>
      </c>
      <c r="AF31" s="582">
        <f t="shared" si="14"/>
        <v>0</v>
      </c>
    </row>
    <row r="32" spans="1:32" ht="18" customHeight="1">
      <c r="A32" s="120">
        <v>35</v>
      </c>
      <c r="B32" s="220" t="s">
        <v>260</v>
      </c>
      <c r="C32" s="221" t="s">
        <v>57</v>
      </c>
      <c r="D32" s="222">
        <v>-1</v>
      </c>
      <c r="E32" s="223" t="s">
        <v>298</v>
      </c>
      <c r="F32" s="63" t="s">
        <v>299</v>
      </c>
      <c r="G32" s="63" t="s">
        <v>271</v>
      </c>
      <c r="H32" s="51" t="s">
        <v>279</v>
      </c>
      <c r="I32" s="145">
        <v>2.1</v>
      </c>
      <c r="J32" s="213" t="s">
        <v>161</v>
      </c>
      <c r="K32" s="146">
        <f t="shared" si="0"/>
        <v>0</v>
      </c>
      <c r="L32" s="147">
        <f t="shared" si="1"/>
        <v>0</v>
      </c>
      <c r="M32" s="147">
        <f t="shared" si="2"/>
        <v>0</v>
      </c>
      <c r="N32" s="147">
        <f t="shared" si="3"/>
        <v>0</v>
      </c>
      <c r="O32" s="147">
        <f t="shared" si="4"/>
        <v>0</v>
      </c>
      <c r="P32" s="148">
        <f t="shared" si="5"/>
        <v>0</v>
      </c>
      <c r="Q32" s="147">
        <f t="shared" si="6"/>
        <v>0</v>
      </c>
      <c r="R32" s="147">
        <f t="shared" si="7"/>
        <v>0</v>
      </c>
      <c r="S32" s="147">
        <f t="shared" si="8"/>
        <v>0</v>
      </c>
      <c r="T32" s="200" t="str">
        <f t="shared" si="9"/>
        <v>nvt</v>
      </c>
      <c r="U32" s="214">
        <v>1</v>
      </c>
      <c r="V32" s="214">
        <v>1</v>
      </c>
      <c r="W32" s="214">
        <v>1</v>
      </c>
      <c r="X32" s="214">
        <v>1</v>
      </c>
      <c r="Y32" s="142"/>
      <c r="Z32" s="149">
        <f t="shared" si="11"/>
        <v>0</v>
      </c>
      <c r="AA32" s="150">
        <f t="shared" si="12"/>
        <v>0</v>
      </c>
      <c r="AB32" s="151"/>
      <c r="AE32" s="582">
        <f t="shared" si="13"/>
        <v>0</v>
      </c>
      <c r="AF32" s="582">
        <f t="shared" si="14"/>
        <v>0</v>
      </c>
    </row>
    <row r="33" spans="1:32" ht="18" customHeight="1">
      <c r="A33" s="120">
        <v>36</v>
      </c>
      <c r="B33" s="220" t="s">
        <v>260</v>
      </c>
      <c r="C33" s="221" t="s">
        <v>57</v>
      </c>
      <c r="D33" s="222">
        <v>-1</v>
      </c>
      <c r="E33" s="223" t="s">
        <v>300</v>
      </c>
      <c r="F33" s="63" t="s">
        <v>294</v>
      </c>
      <c r="G33" s="63" t="s">
        <v>271</v>
      </c>
      <c r="H33" s="51" t="s">
        <v>301</v>
      </c>
      <c r="I33" s="145">
        <v>0.8</v>
      </c>
      <c r="J33" s="213" t="s">
        <v>161</v>
      </c>
      <c r="K33" s="146">
        <f t="shared" si="0"/>
        <v>0</v>
      </c>
      <c r="L33" s="147">
        <f t="shared" si="1"/>
        <v>0</v>
      </c>
      <c r="M33" s="147">
        <f t="shared" si="2"/>
        <v>0</v>
      </c>
      <c r="N33" s="147">
        <f t="shared" si="3"/>
        <v>0</v>
      </c>
      <c r="O33" s="147">
        <f t="shared" si="4"/>
        <v>0</v>
      </c>
      <c r="P33" s="148">
        <f t="shared" si="5"/>
        <v>0</v>
      </c>
      <c r="Q33" s="147">
        <f t="shared" si="6"/>
        <v>0</v>
      </c>
      <c r="R33" s="147">
        <f t="shared" si="7"/>
        <v>0</v>
      </c>
      <c r="S33" s="147">
        <f t="shared" si="8"/>
        <v>0</v>
      </c>
      <c r="T33" s="200" t="str">
        <f t="shared" si="9"/>
        <v>nvt</v>
      </c>
      <c r="U33" s="214">
        <v>1</v>
      </c>
      <c r="V33" s="214">
        <v>1</v>
      </c>
      <c r="W33" s="214">
        <v>1</v>
      </c>
      <c r="X33" s="214">
        <v>1</v>
      </c>
      <c r="Y33" s="142"/>
      <c r="Z33" s="149">
        <f t="shared" si="11"/>
        <v>0</v>
      </c>
      <c r="AA33" s="150">
        <f t="shared" si="12"/>
        <v>0</v>
      </c>
      <c r="AB33" s="151"/>
      <c r="AE33" s="582">
        <f t="shared" si="13"/>
        <v>0</v>
      </c>
      <c r="AF33" s="582">
        <f t="shared" si="14"/>
        <v>0</v>
      </c>
    </row>
    <row r="34" spans="1:32" ht="18" customHeight="1">
      <c r="A34" s="120">
        <v>37</v>
      </c>
      <c r="B34" s="220" t="s">
        <v>260</v>
      </c>
      <c r="C34" s="221" t="s">
        <v>57</v>
      </c>
      <c r="D34" s="222">
        <v>-1</v>
      </c>
      <c r="E34" s="223" t="s">
        <v>302</v>
      </c>
      <c r="F34" s="63" t="s">
        <v>294</v>
      </c>
      <c r="G34" s="63" t="s">
        <v>271</v>
      </c>
      <c r="H34" s="51" t="s">
        <v>301</v>
      </c>
      <c r="I34" s="145">
        <v>2.2000000000000002</v>
      </c>
      <c r="J34" s="213" t="s">
        <v>161</v>
      </c>
      <c r="K34" s="146">
        <f t="shared" si="0"/>
        <v>0</v>
      </c>
      <c r="L34" s="147">
        <f t="shared" si="1"/>
        <v>0</v>
      </c>
      <c r="M34" s="147">
        <f t="shared" si="2"/>
        <v>0</v>
      </c>
      <c r="N34" s="147">
        <f t="shared" si="3"/>
        <v>0</v>
      </c>
      <c r="O34" s="147">
        <f t="shared" si="4"/>
        <v>0</v>
      </c>
      <c r="P34" s="148">
        <f t="shared" si="5"/>
        <v>0</v>
      </c>
      <c r="Q34" s="147">
        <f t="shared" si="6"/>
        <v>0</v>
      </c>
      <c r="R34" s="147">
        <f t="shared" si="7"/>
        <v>0</v>
      </c>
      <c r="S34" s="147">
        <f t="shared" si="8"/>
        <v>0</v>
      </c>
      <c r="T34" s="200" t="str">
        <f t="shared" si="9"/>
        <v>nvt</v>
      </c>
      <c r="U34" s="214">
        <v>1</v>
      </c>
      <c r="V34" s="214">
        <v>1</v>
      </c>
      <c r="W34" s="214">
        <v>1</v>
      </c>
      <c r="X34" s="214">
        <v>1</v>
      </c>
      <c r="Y34" s="142"/>
      <c r="Z34" s="149">
        <f t="shared" si="11"/>
        <v>0</v>
      </c>
      <c r="AA34" s="150">
        <f t="shared" si="12"/>
        <v>0</v>
      </c>
      <c r="AB34" s="151"/>
      <c r="AE34" s="582">
        <f t="shared" si="13"/>
        <v>0</v>
      </c>
      <c r="AF34" s="582">
        <f t="shared" si="14"/>
        <v>0</v>
      </c>
    </row>
    <row r="35" spans="1:32" ht="18" customHeight="1">
      <c r="A35" s="120">
        <v>38</v>
      </c>
      <c r="B35" s="220" t="s">
        <v>260</v>
      </c>
      <c r="C35" s="221" t="s">
        <v>57</v>
      </c>
      <c r="D35" s="222">
        <v>-1</v>
      </c>
      <c r="E35" s="223" t="s">
        <v>303</v>
      </c>
      <c r="F35" s="63" t="s">
        <v>283</v>
      </c>
      <c r="G35" s="63" t="s">
        <v>271</v>
      </c>
      <c r="H35" s="51" t="s">
        <v>279</v>
      </c>
      <c r="I35" s="145">
        <v>11.5</v>
      </c>
      <c r="J35" s="213" t="s">
        <v>161</v>
      </c>
      <c r="K35" s="146">
        <f t="shared" si="0"/>
        <v>0</v>
      </c>
      <c r="L35" s="147">
        <f t="shared" si="1"/>
        <v>0</v>
      </c>
      <c r="M35" s="147">
        <f t="shared" si="2"/>
        <v>0</v>
      </c>
      <c r="N35" s="147">
        <f t="shared" si="3"/>
        <v>0</v>
      </c>
      <c r="O35" s="147">
        <f t="shared" si="4"/>
        <v>0</v>
      </c>
      <c r="P35" s="148">
        <f t="shared" si="5"/>
        <v>0</v>
      </c>
      <c r="Q35" s="147">
        <f t="shared" si="6"/>
        <v>0</v>
      </c>
      <c r="R35" s="147">
        <f t="shared" si="7"/>
        <v>0</v>
      </c>
      <c r="S35" s="147">
        <f t="shared" si="8"/>
        <v>0</v>
      </c>
      <c r="T35" s="200" t="str">
        <f t="shared" si="9"/>
        <v>nvt</v>
      </c>
      <c r="U35" s="214">
        <v>1</v>
      </c>
      <c r="V35" s="214">
        <v>1</v>
      </c>
      <c r="W35" s="214">
        <v>1</v>
      </c>
      <c r="X35" s="214">
        <v>1</v>
      </c>
      <c r="Y35" s="142"/>
      <c r="Z35" s="149">
        <f t="shared" si="11"/>
        <v>0</v>
      </c>
      <c r="AA35" s="150">
        <f t="shared" si="12"/>
        <v>0</v>
      </c>
      <c r="AB35" s="151"/>
      <c r="AE35" s="582">
        <f t="shared" si="13"/>
        <v>0</v>
      </c>
      <c r="AF35" s="582">
        <f t="shared" si="14"/>
        <v>0</v>
      </c>
    </row>
    <row r="36" spans="1:32" ht="18" customHeight="1">
      <c r="A36" s="120">
        <v>39</v>
      </c>
      <c r="B36" s="220" t="s">
        <v>260</v>
      </c>
      <c r="C36" s="221" t="s">
        <v>57</v>
      </c>
      <c r="D36" s="222">
        <v>-1</v>
      </c>
      <c r="E36" s="223" t="s">
        <v>304</v>
      </c>
      <c r="F36" s="63" t="s">
        <v>305</v>
      </c>
      <c r="G36" s="63" t="s">
        <v>271</v>
      </c>
      <c r="H36" s="51" t="s">
        <v>76</v>
      </c>
      <c r="I36" s="145">
        <v>11.1</v>
      </c>
      <c r="J36" s="213" t="s">
        <v>161</v>
      </c>
      <c r="K36" s="146">
        <f t="shared" si="0"/>
        <v>0</v>
      </c>
      <c r="L36" s="147">
        <f t="shared" si="1"/>
        <v>0</v>
      </c>
      <c r="M36" s="147">
        <f t="shared" si="2"/>
        <v>0</v>
      </c>
      <c r="N36" s="147">
        <f t="shared" si="3"/>
        <v>0</v>
      </c>
      <c r="O36" s="147">
        <f t="shared" si="4"/>
        <v>0</v>
      </c>
      <c r="P36" s="148">
        <f t="shared" si="5"/>
        <v>0</v>
      </c>
      <c r="Q36" s="147">
        <f t="shared" si="6"/>
        <v>0</v>
      </c>
      <c r="R36" s="147">
        <f t="shared" si="7"/>
        <v>0</v>
      </c>
      <c r="S36" s="147">
        <f t="shared" si="8"/>
        <v>0</v>
      </c>
      <c r="T36" s="200" t="str">
        <f t="shared" si="9"/>
        <v>nvt</v>
      </c>
      <c r="U36" s="214">
        <v>1</v>
      </c>
      <c r="V36" s="214">
        <v>1</v>
      </c>
      <c r="W36" s="214">
        <v>1</v>
      </c>
      <c r="X36" s="214">
        <v>1</v>
      </c>
      <c r="Y36" s="142"/>
      <c r="Z36" s="149">
        <f t="shared" si="11"/>
        <v>0</v>
      </c>
      <c r="AA36" s="150">
        <f t="shared" si="12"/>
        <v>0</v>
      </c>
      <c r="AB36" s="151"/>
      <c r="AE36" s="582">
        <f t="shared" si="13"/>
        <v>0</v>
      </c>
      <c r="AF36" s="582">
        <f t="shared" si="14"/>
        <v>11.1</v>
      </c>
    </row>
    <row r="37" spans="1:32" ht="18" customHeight="1">
      <c r="A37" s="120">
        <v>40</v>
      </c>
      <c r="B37" s="220" t="s">
        <v>260</v>
      </c>
      <c r="C37" s="221" t="s">
        <v>57</v>
      </c>
      <c r="D37" s="222">
        <v>-1</v>
      </c>
      <c r="E37" s="223" t="s">
        <v>304</v>
      </c>
      <c r="F37" s="63" t="s">
        <v>305</v>
      </c>
      <c r="G37" s="63" t="s">
        <v>271</v>
      </c>
      <c r="H37" s="51" t="s">
        <v>296</v>
      </c>
      <c r="I37" s="145">
        <v>7.5</v>
      </c>
      <c r="J37" s="213" t="s">
        <v>161</v>
      </c>
      <c r="K37" s="146">
        <f t="shared" si="0"/>
        <v>0</v>
      </c>
      <c r="L37" s="147">
        <f t="shared" si="1"/>
        <v>0</v>
      </c>
      <c r="M37" s="147">
        <f t="shared" si="2"/>
        <v>0</v>
      </c>
      <c r="N37" s="147">
        <f t="shared" si="3"/>
        <v>0</v>
      </c>
      <c r="O37" s="147">
        <f t="shared" si="4"/>
        <v>0</v>
      </c>
      <c r="P37" s="148">
        <f t="shared" si="5"/>
        <v>0</v>
      </c>
      <c r="Q37" s="147">
        <f t="shared" si="6"/>
        <v>0</v>
      </c>
      <c r="R37" s="147">
        <f t="shared" si="7"/>
        <v>0</v>
      </c>
      <c r="S37" s="147">
        <f t="shared" si="8"/>
        <v>0</v>
      </c>
      <c r="T37" s="200" t="str">
        <f t="shared" si="9"/>
        <v>nvt</v>
      </c>
      <c r="U37" s="214">
        <v>1</v>
      </c>
      <c r="V37" s="214">
        <v>1</v>
      </c>
      <c r="W37" s="214">
        <v>1</v>
      </c>
      <c r="X37" s="214">
        <v>1</v>
      </c>
      <c r="Y37" s="142"/>
      <c r="Z37" s="149">
        <f t="shared" si="11"/>
        <v>0</v>
      </c>
      <c r="AA37" s="150">
        <f t="shared" si="12"/>
        <v>0</v>
      </c>
      <c r="AB37" s="151"/>
      <c r="AE37" s="582">
        <f t="shared" si="13"/>
        <v>0</v>
      </c>
      <c r="AF37" s="582">
        <f t="shared" si="14"/>
        <v>0</v>
      </c>
    </row>
    <row r="38" spans="1:32" ht="18" customHeight="1">
      <c r="A38" s="120">
        <v>41</v>
      </c>
      <c r="B38" s="220" t="s">
        <v>260</v>
      </c>
      <c r="C38" s="221" t="s">
        <v>57</v>
      </c>
      <c r="D38" s="222">
        <v>-1</v>
      </c>
      <c r="E38" s="223" t="s">
        <v>306</v>
      </c>
      <c r="F38" s="63" t="s">
        <v>294</v>
      </c>
      <c r="G38" s="63" t="s">
        <v>271</v>
      </c>
      <c r="H38" s="51" t="s">
        <v>279</v>
      </c>
      <c r="I38" s="145">
        <v>5.2</v>
      </c>
      <c r="J38" s="213" t="s">
        <v>161</v>
      </c>
      <c r="K38" s="146">
        <f t="shared" si="0"/>
        <v>0</v>
      </c>
      <c r="L38" s="147">
        <f t="shared" si="1"/>
        <v>0</v>
      </c>
      <c r="M38" s="147">
        <f t="shared" si="2"/>
        <v>0</v>
      </c>
      <c r="N38" s="147">
        <f t="shared" si="3"/>
        <v>0</v>
      </c>
      <c r="O38" s="147">
        <f t="shared" si="4"/>
        <v>0</v>
      </c>
      <c r="P38" s="148">
        <f t="shared" si="5"/>
        <v>0</v>
      </c>
      <c r="Q38" s="147">
        <f t="shared" si="6"/>
        <v>0</v>
      </c>
      <c r="R38" s="147">
        <f t="shared" si="7"/>
        <v>0</v>
      </c>
      <c r="S38" s="147">
        <f t="shared" si="8"/>
        <v>0</v>
      </c>
      <c r="T38" s="200" t="str">
        <f t="shared" si="9"/>
        <v>nvt</v>
      </c>
      <c r="U38" s="214">
        <v>1</v>
      </c>
      <c r="V38" s="214">
        <v>1</v>
      </c>
      <c r="W38" s="214">
        <v>1</v>
      </c>
      <c r="X38" s="214">
        <v>1</v>
      </c>
      <c r="Y38" s="142"/>
      <c r="Z38" s="149">
        <f t="shared" si="11"/>
        <v>0</v>
      </c>
      <c r="AA38" s="150">
        <f t="shared" si="12"/>
        <v>0</v>
      </c>
      <c r="AB38" s="151"/>
      <c r="AE38" s="582">
        <f t="shared" si="13"/>
        <v>0</v>
      </c>
      <c r="AF38" s="582">
        <f t="shared" si="14"/>
        <v>0</v>
      </c>
    </row>
    <row r="39" spans="1:32" ht="18" customHeight="1">
      <c r="B39" s="220" t="s">
        <v>260</v>
      </c>
      <c r="C39" s="221" t="s">
        <v>57</v>
      </c>
      <c r="D39" s="222">
        <v>0</v>
      </c>
      <c r="E39" s="223" t="s">
        <v>307</v>
      </c>
      <c r="F39" s="63" t="s">
        <v>262</v>
      </c>
      <c r="G39" s="63" t="s">
        <v>263</v>
      </c>
      <c r="H39" s="51" t="s">
        <v>76</v>
      </c>
      <c r="I39" s="145">
        <v>75</v>
      </c>
      <c r="J39" s="213">
        <v>1104</v>
      </c>
      <c r="K39" s="146">
        <f t="shared" si="0"/>
        <v>104</v>
      </c>
      <c r="L39" s="147">
        <f t="shared" si="1"/>
        <v>19.821176470588235</v>
      </c>
      <c r="M39" s="147">
        <f t="shared" si="2"/>
        <v>0</v>
      </c>
      <c r="N39" s="147">
        <f t="shared" si="3"/>
        <v>0</v>
      </c>
      <c r="O39" s="147">
        <f t="shared" si="4"/>
        <v>0</v>
      </c>
      <c r="P39" s="148">
        <f t="shared" si="5"/>
        <v>0.26428235294117647</v>
      </c>
      <c r="Q39" s="147">
        <f t="shared" si="6"/>
        <v>0</v>
      </c>
      <c r="R39" s="147">
        <f t="shared" si="7"/>
        <v>0</v>
      </c>
      <c r="S39" s="147">
        <f t="shared" si="8"/>
        <v>0</v>
      </c>
      <c r="T39" s="200" t="str">
        <f t="shared" si="9"/>
        <v>B</v>
      </c>
      <c r="U39" s="214">
        <v>1</v>
      </c>
      <c r="V39" s="214">
        <v>1</v>
      </c>
      <c r="W39" s="214">
        <v>1</v>
      </c>
      <c r="X39" s="214">
        <v>1</v>
      </c>
      <c r="Y39" s="142"/>
      <c r="Z39" s="149">
        <f t="shared" si="11"/>
        <v>7800</v>
      </c>
      <c r="AA39" s="150">
        <f t="shared" si="12"/>
        <v>19.821176470588235</v>
      </c>
      <c r="AB39" s="151"/>
      <c r="AE39" s="582">
        <f t="shared" si="13"/>
        <v>0</v>
      </c>
      <c r="AF39" s="582">
        <f t="shared" si="14"/>
        <v>75</v>
      </c>
    </row>
    <row r="40" spans="1:32" ht="18" customHeight="1">
      <c r="B40" s="220" t="s">
        <v>260</v>
      </c>
      <c r="C40" s="221" t="s">
        <v>57</v>
      </c>
      <c r="D40" s="222">
        <v>0</v>
      </c>
      <c r="E40" s="223" t="s">
        <v>308</v>
      </c>
      <c r="F40" s="63" t="s">
        <v>309</v>
      </c>
      <c r="G40" s="63" t="s">
        <v>271</v>
      </c>
      <c r="H40" s="51" t="s">
        <v>76</v>
      </c>
      <c r="I40" s="145">
        <v>15.3</v>
      </c>
      <c r="J40" s="213">
        <v>3255</v>
      </c>
      <c r="K40" s="146">
        <f t="shared" ref="K40:K41" si="21">SUM(IF(J40="",0,VLOOKUP(J40,Kengetal,2)))</f>
        <v>255</v>
      </c>
      <c r="L40" s="147">
        <f t="shared" ref="L40:L41" si="22">P40*I40*U40</f>
        <v>5.7222</v>
      </c>
      <c r="M40" s="147">
        <f t="shared" ref="M40:M41" si="23">Q40*I40*V40</f>
        <v>0</v>
      </c>
      <c r="N40" s="147">
        <f t="shared" ref="N40:N41" si="24">R40*I40*W40</f>
        <v>0</v>
      </c>
      <c r="O40" s="147">
        <f t="shared" ref="O40:O41" si="25">S40*I40*X40</f>
        <v>0</v>
      </c>
      <c r="P40" s="148">
        <f t="shared" si="5"/>
        <v>0.374</v>
      </c>
      <c r="Q40" s="147">
        <f t="shared" si="6"/>
        <v>0</v>
      </c>
      <c r="R40" s="147">
        <f t="shared" si="7"/>
        <v>0</v>
      </c>
      <c r="S40" s="147">
        <f t="shared" si="8"/>
        <v>0</v>
      </c>
      <c r="T40" s="200" t="str">
        <f t="shared" ref="T40:T41" si="26">IF(J40="","",VLOOKUP(J40,Kengetal,13,FALSE))</f>
        <v>V</v>
      </c>
      <c r="U40" s="214">
        <v>1</v>
      </c>
      <c r="V40" s="214">
        <v>1</v>
      </c>
      <c r="W40" s="214">
        <v>1</v>
      </c>
      <c r="X40" s="214">
        <v>1</v>
      </c>
      <c r="Y40" s="142"/>
      <c r="Z40" s="149">
        <f t="shared" ref="Z40:Z41" si="27">I40*K40</f>
        <v>3901.5</v>
      </c>
      <c r="AA40" s="150">
        <f t="shared" ref="AA40:AA41" si="28">L40+M40+N40+O40</f>
        <v>5.7222</v>
      </c>
      <c r="AB40" s="151"/>
      <c r="AE40" s="582">
        <f t="shared" ref="AE40:AE41" si="29">SUMIF(H40,"Linoleum",I40)</f>
        <v>0</v>
      </c>
      <c r="AF40" s="582">
        <f t="shared" ref="AF40:AF41" si="30">SUMIF(H40,"Tapijt",I40)</f>
        <v>15.3</v>
      </c>
    </row>
    <row r="41" spans="1:32" ht="18" customHeight="1">
      <c r="B41" s="220" t="s">
        <v>260</v>
      </c>
      <c r="C41" s="221" t="s">
        <v>57</v>
      </c>
      <c r="D41" s="222">
        <v>0</v>
      </c>
      <c r="E41" s="223" t="s">
        <v>310</v>
      </c>
      <c r="F41" s="63" t="s">
        <v>262</v>
      </c>
      <c r="G41" s="63" t="s">
        <v>263</v>
      </c>
      <c r="H41" s="51" t="s">
        <v>76</v>
      </c>
      <c r="I41" s="145">
        <v>7.7</v>
      </c>
      <c r="J41" s="213">
        <v>1104</v>
      </c>
      <c r="K41" s="146">
        <f t="shared" si="21"/>
        <v>104</v>
      </c>
      <c r="L41" s="147">
        <f t="shared" si="22"/>
        <v>2.0349741176470588</v>
      </c>
      <c r="M41" s="147">
        <f t="shared" si="23"/>
        <v>0</v>
      </c>
      <c r="N41" s="147">
        <f t="shared" si="24"/>
        <v>0</v>
      </c>
      <c r="O41" s="147">
        <f t="shared" si="25"/>
        <v>0</v>
      </c>
      <c r="P41" s="148">
        <f t="shared" si="5"/>
        <v>0.26428235294117647</v>
      </c>
      <c r="Q41" s="147">
        <f t="shared" si="6"/>
        <v>0</v>
      </c>
      <c r="R41" s="147">
        <f t="shared" si="7"/>
        <v>0</v>
      </c>
      <c r="S41" s="147">
        <f t="shared" si="8"/>
        <v>0</v>
      </c>
      <c r="T41" s="200" t="str">
        <f t="shared" si="26"/>
        <v>B</v>
      </c>
      <c r="U41" s="214">
        <v>1</v>
      </c>
      <c r="V41" s="214">
        <v>1</v>
      </c>
      <c r="W41" s="214">
        <v>1</v>
      </c>
      <c r="X41" s="214">
        <v>1</v>
      </c>
      <c r="Y41" s="142"/>
      <c r="Z41" s="149">
        <f t="shared" si="27"/>
        <v>800.80000000000007</v>
      </c>
      <c r="AA41" s="150">
        <f t="shared" si="28"/>
        <v>2.0349741176470588</v>
      </c>
      <c r="AB41" s="151"/>
      <c r="AE41" s="582">
        <f t="shared" si="29"/>
        <v>0</v>
      </c>
      <c r="AF41" s="582">
        <f t="shared" si="30"/>
        <v>7.7</v>
      </c>
    </row>
    <row r="42" spans="1:32" ht="18" customHeight="1">
      <c r="B42" s="220" t="s">
        <v>260</v>
      </c>
      <c r="C42" s="221" t="s">
        <v>57</v>
      </c>
      <c r="D42" s="222">
        <v>0</v>
      </c>
      <c r="E42" s="223" t="s">
        <v>311</v>
      </c>
      <c r="F42" s="63" t="s">
        <v>262</v>
      </c>
      <c r="G42" s="63" t="s">
        <v>263</v>
      </c>
      <c r="H42" s="51" t="s">
        <v>76</v>
      </c>
      <c r="I42" s="145">
        <v>7.7</v>
      </c>
      <c r="J42" s="213">
        <v>1104</v>
      </c>
      <c r="K42" s="146">
        <f t="shared" ref="K42" si="31">SUM(IF(J42="",0,VLOOKUP(J42,Kengetal,2)))</f>
        <v>104</v>
      </c>
      <c r="L42" s="147">
        <f t="shared" ref="L42" si="32">P42*I42*U42</f>
        <v>2.0349741176470588</v>
      </c>
      <c r="M42" s="147">
        <f t="shared" ref="M42" si="33">Q42*I42*V42</f>
        <v>0</v>
      </c>
      <c r="N42" s="147">
        <f t="shared" ref="N42" si="34">R42*I42*W42</f>
        <v>0</v>
      </c>
      <c r="O42" s="147">
        <f t="shared" ref="O42" si="35">S42*I42*X42</f>
        <v>0</v>
      </c>
      <c r="P42" s="148">
        <f t="shared" si="5"/>
        <v>0.26428235294117647</v>
      </c>
      <c r="Q42" s="147">
        <f t="shared" si="6"/>
        <v>0</v>
      </c>
      <c r="R42" s="147">
        <f t="shared" si="7"/>
        <v>0</v>
      </c>
      <c r="S42" s="147">
        <f t="shared" si="8"/>
        <v>0</v>
      </c>
      <c r="T42" s="200" t="str">
        <f t="shared" ref="T42" si="36">IF(J42="","",VLOOKUP(J42,Kengetal,13,FALSE))</f>
        <v>B</v>
      </c>
      <c r="U42" s="214">
        <v>1</v>
      </c>
      <c r="V42" s="214">
        <v>1</v>
      </c>
      <c r="W42" s="214">
        <v>1</v>
      </c>
      <c r="X42" s="214">
        <v>1</v>
      </c>
      <c r="Y42" s="142"/>
      <c r="Z42" s="149">
        <f t="shared" ref="Z42" si="37">I42*K42</f>
        <v>800.80000000000007</v>
      </c>
      <c r="AA42" s="150">
        <f t="shared" ref="AA42" si="38">L42+M42+N42+O42</f>
        <v>2.0349741176470588</v>
      </c>
      <c r="AB42" s="151"/>
      <c r="AE42" s="582">
        <f t="shared" ref="AE42" si="39">SUMIF(H42,"Linoleum",I42)</f>
        <v>0</v>
      </c>
      <c r="AF42" s="582">
        <f t="shared" ref="AF42" si="40">SUMIF(H42,"Tapijt",I42)</f>
        <v>7.7</v>
      </c>
    </row>
    <row r="43" spans="1:32" ht="18" customHeight="1">
      <c r="B43" s="220" t="s">
        <v>260</v>
      </c>
      <c r="C43" s="221" t="s">
        <v>57</v>
      </c>
      <c r="D43" s="222">
        <v>0</v>
      </c>
      <c r="E43" s="223" t="s">
        <v>312</v>
      </c>
      <c r="F43" s="63" t="s">
        <v>313</v>
      </c>
      <c r="G43" s="63" t="s">
        <v>263</v>
      </c>
      <c r="H43" s="51" t="s">
        <v>76</v>
      </c>
      <c r="I43" s="145">
        <v>7.7</v>
      </c>
      <c r="J43" s="213">
        <v>1104</v>
      </c>
      <c r="K43" s="146">
        <f t="shared" ref="K43" si="41">SUM(IF(J43="",0,VLOOKUP(J43,Kengetal,2)))</f>
        <v>104</v>
      </c>
      <c r="L43" s="147">
        <f t="shared" ref="L43" si="42">P43*I43*U43</f>
        <v>2.0349741176470588</v>
      </c>
      <c r="M43" s="147">
        <f t="shared" ref="M43" si="43">Q43*I43*V43</f>
        <v>0</v>
      </c>
      <c r="N43" s="147">
        <f t="shared" ref="N43" si="44">R43*I43*W43</f>
        <v>0</v>
      </c>
      <c r="O43" s="147">
        <f t="shared" ref="O43" si="45">S43*I43*X43</f>
        <v>0</v>
      </c>
      <c r="P43" s="148">
        <f t="shared" si="5"/>
        <v>0.26428235294117647</v>
      </c>
      <c r="Q43" s="147">
        <f t="shared" si="6"/>
        <v>0</v>
      </c>
      <c r="R43" s="147">
        <f t="shared" si="7"/>
        <v>0</v>
      </c>
      <c r="S43" s="147">
        <f t="shared" si="8"/>
        <v>0</v>
      </c>
      <c r="T43" s="200" t="str">
        <f t="shared" ref="T43" si="46">IF(J43="","",VLOOKUP(J43,Kengetal,13,FALSE))</f>
        <v>B</v>
      </c>
      <c r="U43" s="214">
        <v>1</v>
      </c>
      <c r="V43" s="214">
        <v>1</v>
      </c>
      <c r="W43" s="214">
        <v>1</v>
      </c>
      <c r="X43" s="214">
        <v>1</v>
      </c>
      <c r="Y43" s="142"/>
      <c r="Z43" s="149">
        <f t="shared" ref="Z43" si="47">I43*K43</f>
        <v>800.80000000000007</v>
      </c>
      <c r="AA43" s="150">
        <f t="shared" ref="AA43" si="48">L43+M43+N43+O43</f>
        <v>2.0349741176470588</v>
      </c>
      <c r="AB43" s="151"/>
      <c r="AE43" s="582">
        <f t="shared" ref="AE43" si="49">SUMIF(H43,"Linoleum",I43)</f>
        <v>0</v>
      </c>
      <c r="AF43" s="582">
        <f t="shared" ref="AF43" si="50">SUMIF(H43,"Tapijt",I43)</f>
        <v>7.7</v>
      </c>
    </row>
    <row r="44" spans="1:32" ht="18" customHeight="1">
      <c r="B44" s="220" t="s">
        <v>260</v>
      </c>
      <c r="C44" s="221" t="s">
        <v>57</v>
      </c>
      <c r="D44" s="222">
        <v>0</v>
      </c>
      <c r="E44" s="223" t="s">
        <v>314</v>
      </c>
      <c r="F44" s="63" t="s">
        <v>144</v>
      </c>
      <c r="G44" s="63" t="s">
        <v>271</v>
      </c>
      <c r="H44" s="51" t="s">
        <v>315</v>
      </c>
      <c r="I44" s="145">
        <v>14</v>
      </c>
      <c r="J44" s="213">
        <v>8255</v>
      </c>
      <c r="K44" s="146">
        <f t="shared" si="0"/>
        <v>255</v>
      </c>
      <c r="L44" s="147">
        <f t="shared" si="1"/>
        <v>28</v>
      </c>
      <c r="M44" s="147">
        <f t="shared" si="2"/>
        <v>0</v>
      </c>
      <c r="N44" s="147">
        <f t="shared" si="3"/>
        <v>0</v>
      </c>
      <c r="O44" s="147">
        <f t="shared" si="4"/>
        <v>0</v>
      </c>
      <c r="P44" s="148">
        <f t="shared" si="5"/>
        <v>2</v>
      </c>
      <c r="Q44" s="147">
        <f t="shared" si="6"/>
        <v>0</v>
      </c>
      <c r="R44" s="147">
        <f t="shared" si="7"/>
        <v>0</v>
      </c>
      <c r="S44" s="147">
        <f t="shared" si="8"/>
        <v>0</v>
      </c>
      <c r="T44" s="200" t="str">
        <f t="shared" si="9"/>
        <v>V</v>
      </c>
      <c r="U44" s="214">
        <v>1</v>
      </c>
      <c r="V44" s="214">
        <v>1</v>
      </c>
      <c r="W44" s="214">
        <v>1</v>
      </c>
      <c r="X44" s="214">
        <v>1</v>
      </c>
      <c r="Y44" s="142"/>
      <c r="Z44" s="149">
        <f t="shared" si="11"/>
        <v>3570</v>
      </c>
      <c r="AA44" s="150">
        <f t="shared" si="12"/>
        <v>28</v>
      </c>
      <c r="AB44" s="151"/>
      <c r="AE44" s="582">
        <f t="shared" si="13"/>
        <v>0</v>
      </c>
      <c r="AF44" s="582">
        <f t="shared" si="14"/>
        <v>0</v>
      </c>
    </row>
    <row r="45" spans="1:32" ht="18" customHeight="1">
      <c r="B45" s="220" t="s">
        <v>260</v>
      </c>
      <c r="C45" s="221" t="s">
        <v>57</v>
      </c>
      <c r="D45" s="222">
        <v>0</v>
      </c>
      <c r="E45" s="223" t="s">
        <v>316</v>
      </c>
      <c r="F45" s="63" t="s">
        <v>262</v>
      </c>
      <c r="G45" s="63" t="s">
        <v>263</v>
      </c>
      <c r="H45" s="51" t="s">
        <v>76</v>
      </c>
      <c r="I45" s="145">
        <v>20.5</v>
      </c>
      <c r="J45" s="213">
        <v>1104</v>
      </c>
      <c r="K45" s="146">
        <f t="shared" si="0"/>
        <v>104</v>
      </c>
      <c r="L45" s="147">
        <f t="shared" si="1"/>
        <v>5.4177882352941173</v>
      </c>
      <c r="M45" s="147">
        <f t="shared" si="2"/>
        <v>0</v>
      </c>
      <c r="N45" s="147">
        <f t="shared" si="3"/>
        <v>0</v>
      </c>
      <c r="O45" s="147">
        <f t="shared" si="4"/>
        <v>0</v>
      </c>
      <c r="P45" s="148">
        <f t="shared" si="5"/>
        <v>0.26428235294117647</v>
      </c>
      <c r="Q45" s="147">
        <f t="shared" si="6"/>
        <v>0</v>
      </c>
      <c r="R45" s="147">
        <f t="shared" si="7"/>
        <v>0</v>
      </c>
      <c r="S45" s="147">
        <f t="shared" si="8"/>
        <v>0</v>
      </c>
      <c r="T45" s="200" t="str">
        <f t="shared" si="9"/>
        <v>B</v>
      </c>
      <c r="U45" s="214">
        <v>1</v>
      </c>
      <c r="V45" s="214">
        <v>1</v>
      </c>
      <c r="W45" s="214">
        <v>1</v>
      </c>
      <c r="X45" s="214">
        <v>1</v>
      </c>
      <c r="Y45" s="142"/>
      <c r="Z45" s="149">
        <f t="shared" si="11"/>
        <v>2132</v>
      </c>
      <c r="AA45" s="150">
        <f t="shared" si="12"/>
        <v>5.4177882352941173</v>
      </c>
      <c r="AB45" s="151"/>
      <c r="AE45" s="582">
        <f t="shared" si="13"/>
        <v>0</v>
      </c>
      <c r="AF45" s="582">
        <f t="shared" si="14"/>
        <v>20.5</v>
      </c>
    </row>
    <row r="46" spans="1:32" ht="18" customHeight="1">
      <c r="B46" s="220" t="s">
        <v>260</v>
      </c>
      <c r="C46" s="221" t="s">
        <v>57</v>
      </c>
      <c r="D46" s="222">
        <v>0</v>
      </c>
      <c r="E46" s="223" t="s">
        <v>317</v>
      </c>
      <c r="F46" s="63" t="s">
        <v>262</v>
      </c>
      <c r="G46" s="63" t="s">
        <v>263</v>
      </c>
      <c r="H46" s="51" t="s">
        <v>76</v>
      </c>
      <c r="I46" s="145">
        <v>15</v>
      </c>
      <c r="J46" s="213">
        <v>1104</v>
      </c>
      <c r="K46" s="146">
        <f t="shared" si="0"/>
        <v>104</v>
      </c>
      <c r="L46" s="147">
        <f t="shared" si="1"/>
        <v>3.9642352941176471</v>
      </c>
      <c r="M46" s="147">
        <f t="shared" si="2"/>
        <v>0</v>
      </c>
      <c r="N46" s="147">
        <f t="shared" si="3"/>
        <v>0</v>
      </c>
      <c r="O46" s="147">
        <f t="shared" si="4"/>
        <v>0</v>
      </c>
      <c r="P46" s="148">
        <f t="shared" si="5"/>
        <v>0.26428235294117647</v>
      </c>
      <c r="Q46" s="147">
        <f t="shared" si="6"/>
        <v>0</v>
      </c>
      <c r="R46" s="147">
        <f t="shared" si="7"/>
        <v>0</v>
      </c>
      <c r="S46" s="147">
        <f t="shared" si="8"/>
        <v>0</v>
      </c>
      <c r="T46" s="200" t="str">
        <f t="shared" si="9"/>
        <v>B</v>
      </c>
      <c r="U46" s="214">
        <v>1</v>
      </c>
      <c r="V46" s="214">
        <v>1</v>
      </c>
      <c r="W46" s="214">
        <v>1</v>
      </c>
      <c r="X46" s="214">
        <v>1</v>
      </c>
      <c r="Y46" s="142"/>
      <c r="Z46" s="149">
        <f t="shared" si="11"/>
        <v>1560</v>
      </c>
      <c r="AA46" s="150">
        <f t="shared" si="12"/>
        <v>3.9642352941176471</v>
      </c>
      <c r="AB46" s="151"/>
      <c r="AE46" s="582">
        <f t="shared" si="13"/>
        <v>0</v>
      </c>
      <c r="AF46" s="582">
        <f t="shared" si="14"/>
        <v>15</v>
      </c>
    </row>
    <row r="47" spans="1:32" ht="18" customHeight="1">
      <c r="B47" s="220" t="s">
        <v>260</v>
      </c>
      <c r="C47" s="221" t="s">
        <v>57</v>
      </c>
      <c r="D47" s="222">
        <v>0</v>
      </c>
      <c r="E47" s="223" t="s">
        <v>318</v>
      </c>
      <c r="F47" s="63" t="s">
        <v>262</v>
      </c>
      <c r="G47" s="63" t="s">
        <v>263</v>
      </c>
      <c r="H47" s="51" t="s">
        <v>76</v>
      </c>
      <c r="I47" s="145">
        <v>47</v>
      </c>
      <c r="J47" s="213">
        <v>1104</v>
      </c>
      <c r="K47" s="146">
        <f t="shared" ref="K47" si="51">SUM(IF(J47="",0,VLOOKUP(J47,Kengetal,2)))</f>
        <v>104</v>
      </c>
      <c r="L47" s="147">
        <f t="shared" ref="L47" si="52">P47*I47*U47</f>
        <v>12.421270588235293</v>
      </c>
      <c r="M47" s="147">
        <f t="shared" ref="M47" si="53">Q47*I47*V47</f>
        <v>0</v>
      </c>
      <c r="N47" s="147">
        <f t="shared" ref="N47" si="54">R47*I47*W47</f>
        <v>0</v>
      </c>
      <c r="O47" s="147">
        <f t="shared" ref="O47" si="55">S47*I47*X47</f>
        <v>0</v>
      </c>
      <c r="P47" s="148">
        <f t="shared" si="5"/>
        <v>0.26428235294117647</v>
      </c>
      <c r="Q47" s="147">
        <f t="shared" si="6"/>
        <v>0</v>
      </c>
      <c r="R47" s="147">
        <f t="shared" si="7"/>
        <v>0</v>
      </c>
      <c r="S47" s="147">
        <f t="shared" si="8"/>
        <v>0</v>
      </c>
      <c r="T47" s="200" t="str">
        <f t="shared" ref="T47" si="56">IF(J47="","",VLOOKUP(J47,Kengetal,13,FALSE))</f>
        <v>B</v>
      </c>
      <c r="U47" s="214">
        <v>1</v>
      </c>
      <c r="V47" s="214">
        <v>1</v>
      </c>
      <c r="W47" s="214">
        <v>1</v>
      </c>
      <c r="X47" s="214">
        <v>1</v>
      </c>
      <c r="Y47" s="142"/>
      <c r="Z47" s="149">
        <f t="shared" ref="Z47" si="57">I47*K47</f>
        <v>4888</v>
      </c>
      <c r="AA47" s="150">
        <f t="shared" ref="AA47" si="58">L47+M47+N47+O47</f>
        <v>12.421270588235293</v>
      </c>
      <c r="AB47" s="151"/>
      <c r="AE47" s="582">
        <f t="shared" ref="AE47" si="59">SUMIF(H47,"Linoleum",I47)</f>
        <v>0</v>
      </c>
      <c r="AF47" s="582">
        <f t="shared" ref="AF47" si="60">SUMIF(H47,"Tapijt",I47)</f>
        <v>47</v>
      </c>
    </row>
    <row r="48" spans="1:32" ht="18" customHeight="1">
      <c r="B48" s="220" t="s">
        <v>260</v>
      </c>
      <c r="C48" s="221" t="s">
        <v>57</v>
      </c>
      <c r="D48" s="222">
        <v>0</v>
      </c>
      <c r="E48" s="223" t="s">
        <v>319</v>
      </c>
      <c r="F48" s="63" t="s">
        <v>313</v>
      </c>
      <c r="G48" s="63" t="s">
        <v>263</v>
      </c>
      <c r="H48" s="51" t="s">
        <v>76</v>
      </c>
      <c r="I48" s="145">
        <v>25</v>
      </c>
      <c r="J48" s="213">
        <v>1104</v>
      </c>
      <c r="K48" s="146">
        <f t="shared" ref="K48" si="61">SUM(IF(J48="",0,VLOOKUP(J48,Kengetal,2)))</f>
        <v>104</v>
      </c>
      <c r="L48" s="147">
        <f t="shared" ref="L48" si="62">P48*I48*U48</f>
        <v>6.6070588235294121</v>
      </c>
      <c r="M48" s="147">
        <f t="shared" ref="M48" si="63">Q48*I48*V48</f>
        <v>0</v>
      </c>
      <c r="N48" s="147">
        <f t="shared" ref="N48" si="64">R48*I48*W48</f>
        <v>0</v>
      </c>
      <c r="O48" s="147">
        <f t="shared" ref="O48" si="65">S48*I48*X48</f>
        <v>0</v>
      </c>
      <c r="P48" s="148">
        <f t="shared" si="5"/>
        <v>0.26428235294117647</v>
      </c>
      <c r="Q48" s="147">
        <f t="shared" si="6"/>
        <v>0</v>
      </c>
      <c r="R48" s="147">
        <f t="shared" si="7"/>
        <v>0</v>
      </c>
      <c r="S48" s="147">
        <f t="shared" si="8"/>
        <v>0</v>
      </c>
      <c r="T48" s="200" t="str">
        <f t="shared" ref="T48" si="66">IF(J48="","",VLOOKUP(J48,Kengetal,13,FALSE))</f>
        <v>B</v>
      </c>
      <c r="U48" s="214">
        <v>1</v>
      </c>
      <c r="V48" s="214">
        <v>1</v>
      </c>
      <c r="W48" s="214">
        <v>1</v>
      </c>
      <c r="X48" s="214">
        <v>1</v>
      </c>
      <c r="Y48" s="142"/>
      <c r="Z48" s="149">
        <f t="shared" ref="Z48" si="67">I48*K48</f>
        <v>2600</v>
      </c>
      <c r="AA48" s="150">
        <f t="shared" ref="AA48" si="68">L48+M48+N48+O48</f>
        <v>6.6070588235294121</v>
      </c>
      <c r="AB48" s="151"/>
      <c r="AE48" s="582">
        <f t="shared" ref="AE48" si="69">SUMIF(H48,"Linoleum",I48)</f>
        <v>0</v>
      </c>
      <c r="AF48" s="582">
        <f t="shared" ref="AF48" si="70">SUMIF(H48,"Tapijt",I48)</f>
        <v>25</v>
      </c>
    </row>
    <row r="49" spans="2:32" ht="18" customHeight="1">
      <c r="B49" s="220" t="s">
        <v>260</v>
      </c>
      <c r="C49" s="221" t="s">
        <v>57</v>
      </c>
      <c r="D49" s="222">
        <v>0</v>
      </c>
      <c r="E49" s="223" t="s">
        <v>320</v>
      </c>
      <c r="F49" s="63" t="s">
        <v>281</v>
      </c>
      <c r="G49" s="63" t="s">
        <v>271</v>
      </c>
      <c r="H49" s="51" t="s">
        <v>321</v>
      </c>
      <c r="I49" s="145">
        <v>19.899999999999999</v>
      </c>
      <c r="J49" s="213">
        <v>5052</v>
      </c>
      <c r="K49" s="146">
        <f t="shared" si="0"/>
        <v>52</v>
      </c>
      <c r="L49" s="147">
        <f t="shared" si="1"/>
        <v>4.4484225882352941</v>
      </c>
      <c r="M49" s="147">
        <f t="shared" si="2"/>
        <v>0</v>
      </c>
      <c r="N49" s="147">
        <f t="shared" si="3"/>
        <v>0</v>
      </c>
      <c r="O49" s="147">
        <f t="shared" si="4"/>
        <v>0</v>
      </c>
      <c r="P49" s="148">
        <f t="shared" si="5"/>
        <v>0.22353882352941176</v>
      </c>
      <c r="Q49" s="147">
        <f t="shared" si="6"/>
        <v>0</v>
      </c>
      <c r="R49" s="147">
        <f t="shared" si="7"/>
        <v>0</v>
      </c>
      <c r="S49" s="147">
        <f t="shared" si="8"/>
        <v>0</v>
      </c>
      <c r="T49" s="200" t="str">
        <f t="shared" si="9"/>
        <v>V</v>
      </c>
      <c r="U49" s="214">
        <v>1</v>
      </c>
      <c r="V49" s="214">
        <v>1</v>
      </c>
      <c r="W49" s="214">
        <v>1</v>
      </c>
      <c r="X49" s="214">
        <v>1</v>
      </c>
      <c r="Y49" s="142"/>
      <c r="Z49" s="149">
        <f t="shared" si="11"/>
        <v>1034.8</v>
      </c>
      <c r="AA49" s="150">
        <f t="shared" si="12"/>
        <v>4.4484225882352941</v>
      </c>
      <c r="AB49" s="151"/>
      <c r="AE49" s="582">
        <f t="shared" si="13"/>
        <v>0</v>
      </c>
      <c r="AF49" s="582">
        <f t="shared" si="14"/>
        <v>0</v>
      </c>
    </row>
    <row r="50" spans="2:32" ht="18" customHeight="1">
      <c r="B50" s="220" t="s">
        <v>260</v>
      </c>
      <c r="C50" s="221" t="s">
        <v>57</v>
      </c>
      <c r="D50" s="222">
        <v>0</v>
      </c>
      <c r="E50" s="223" t="s">
        <v>322</v>
      </c>
      <c r="F50" s="63" t="s">
        <v>323</v>
      </c>
      <c r="G50" s="63" t="s">
        <v>271</v>
      </c>
      <c r="H50" s="51" t="s">
        <v>276</v>
      </c>
      <c r="I50" s="145">
        <v>308</v>
      </c>
      <c r="J50" s="213">
        <v>3510</v>
      </c>
      <c r="K50" s="146">
        <f t="shared" si="0"/>
        <v>510</v>
      </c>
      <c r="L50" s="147">
        <f t="shared" si="1"/>
        <v>115.19199999999999</v>
      </c>
      <c r="M50" s="147">
        <f t="shared" si="2"/>
        <v>57.595999999999997</v>
      </c>
      <c r="N50" s="147">
        <f t="shared" si="3"/>
        <v>0</v>
      </c>
      <c r="O50" s="147">
        <f t="shared" si="4"/>
        <v>0</v>
      </c>
      <c r="P50" s="148">
        <f t="shared" si="5"/>
        <v>0.374</v>
      </c>
      <c r="Q50" s="147">
        <f t="shared" si="6"/>
        <v>0.187</v>
      </c>
      <c r="R50" s="147">
        <f t="shared" si="7"/>
        <v>0</v>
      </c>
      <c r="S50" s="147">
        <f t="shared" si="8"/>
        <v>0</v>
      </c>
      <c r="T50" s="200" t="str">
        <f t="shared" si="9"/>
        <v>V</v>
      </c>
      <c r="U50" s="214">
        <v>1</v>
      </c>
      <c r="V50" s="214">
        <v>1</v>
      </c>
      <c r="W50" s="214">
        <v>1</v>
      </c>
      <c r="X50" s="214">
        <v>1</v>
      </c>
      <c r="Y50" s="142"/>
      <c r="Z50" s="149">
        <f t="shared" si="11"/>
        <v>157080</v>
      </c>
      <c r="AA50" s="150">
        <f t="shared" si="12"/>
        <v>172.78799999999998</v>
      </c>
      <c r="AB50" s="151"/>
      <c r="AE50" s="582">
        <f t="shared" si="13"/>
        <v>0</v>
      </c>
      <c r="AF50" s="582">
        <f t="shared" si="14"/>
        <v>0</v>
      </c>
    </row>
    <row r="51" spans="2:32" ht="18" customHeight="1">
      <c r="B51" s="220" t="s">
        <v>260</v>
      </c>
      <c r="C51" s="221" t="s">
        <v>57</v>
      </c>
      <c r="D51" s="222">
        <v>0</v>
      </c>
      <c r="E51" s="223" t="s">
        <v>324</v>
      </c>
      <c r="F51" s="63" t="s">
        <v>281</v>
      </c>
      <c r="G51" s="63" t="s">
        <v>271</v>
      </c>
      <c r="H51" s="51" t="s">
        <v>296</v>
      </c>
      <c r="I51" s="145">
        <v>9.1</v>
      </c>
      <c r="J51" s="213">
        <v>5255</v>
      </c>
      <c r="K51" s="146">
        <f t="shared" si="0"/>
        <v>255</v>
      </c>
      <c r="L51" s="147">
        <f t="shared" si="1"/>
        <v>7.1253000000000002</v>
      </c>
      <c r="M51" s="147">
        <f t="shared" si="2"/>
        <v>0</v>
      </c>
      <c r="N51" s="147">
        <f t="shared" si="3"/>
        <v>0</v>
      </c>
      <c r="O51" s="147">
        <f t="shared" si="4"/>
        <v>0</v>
      </c>
      <c r="P51" s="148">
        <f t="shared" si="5"/>
        <v>0.78300000000000003</v>
      </c>
      <c r="Q51" s="147">
        <f t="shared" si="6"/>
        <v>0</v>
      </c>
      <c r="R51" s="147">
        <f t="shared" si="7"/>
        <v>0</v>
      </c>
      <c r="S51" s="147">
        <f t="shared" si="8"/>
        <v>0</v>
      </c>
      <c r="T51" s="200" t="str">
        <f t="shared" si="9"/>
        <v>V</v>
      </c>
      <c r="U51" s="214">
        <v>1</v>
      </c>
      <c r="V51" s="214">
        <v>1</v>
      </c>
      <c r="W51" s="214">
        <v>1</v>
      </c>
      <c r="X51" s="214">
        <v>1</v>
      </c>
      <c r="Y51" s="142"/>
      <c r="Z51" s="149">
        <f t="shared" si="11"/>
        <v>2320.5</v>
      </c>
      <c r="AA51" s="150">
        <f t="shared" si="12"/>
        <v>7.1253000000000002</v>
      </c>
      <c r="AB51" s="151"/>
      <c r="AE51" s="582">
        <f t="shared" si="13"/>
        <v>0</v>
      </c>
      <c r="AF51" s="582">
        <f t="shared" si="14"/>
        <v>0</v>
      </c>
    </row>
    <row r="52" spans="2:32" ht="18" customHeight="1">
      <c r="B52" s="220" t="s">
        <v>260</v>
      </c>
      <c r="C52" s="221" t="s">
        <v>57</v>
      </c>
      <c r="D52" s="222">
        <v>0</v>
      </c>
      <c r="E52" s="223" t="s">
        <v>325</v>
      </c>
      <c r="F52" s="63" t="s">
        <v>262</v>
      </c>
      <c r="G52" s="63" t="s">
        <v>263</v>
      </c>
      <c r="H52" s="51" t="s">
        <v>76</v>
      </c>
      <c r="I52" s="145">
        <v>42.4</v>
      </c>
      <c r="J52" s="213">
        <v>1104</v>
      </c>
      <c r="K52" s="146">
        <f t="shared" ref="K52:K57" si="71">SUM(IF(J52="",0,VLOOKUP(J52,Kengetal,2)))</f>
        <v>104</v>
      </c>
      <c r="L52" s="147">
        <f t="shared" ref="L52:L57" si="72">P52*I52*U52</f>
        <v>11.205571764705882</v>
      </c>
      <c r="M52" s="147">
        <f t="shared" ref="M52:M57" si="73">Q52*I52*V52</f>
        <v>0</v>
      </c>
      <c r="N52" s="147">
        <f t="shared" ref="N52:N57" si="74">R52*I52*W52</f>
        <v>0</v>
      </c>
      <c r="O52" s="147">
        <f t="shared" ref="O52:O57" si="75">S52*I52*X52</f>
        <v>0</v>
      </c>
      <c r="P52" s="148">
        <f t="shared" si="5"/>
        <v>0.26428235294117647</v>
      </c>
      <c r="Q52" s="147">
        <f t="shared" si="6"/>
        <v>0</v>
      </c>
      <c r="R52" s="147">
        <f t="shared" si="7"/>
        <v>0</v>
      </c>
      <c r="S52" s="147">
        <f t="shared" si="8"/>
        <v>0</v>
      </c>
      <c r="T52" s="200" t="str">
        <f t="shared" ref="T52:T57" si="76">IF(J52="","",VLOOKUP(J52,Kengetal,13,FALSE))</f>
        <v>B</v>
      </c>
      <c r="U52" s="214">
        <v>1</v>
      </c>
      <c r="V52" s="214">
        <v>1</v>
      </c>
      <c r="W52" s="214">
        <v>1</v>
      </c>
      <c r="X52" s="214">
        <v>1</v>
      </c>
      <c r="Y52" s="142"/>
      <c r="Z52" s="149">
        <f t="shared" si="11"/>
        <v>4409.5999999999995</v>
      </c>
      <c r="AA52" s="150">
        <f t="shared" si="12"/>
        <v>11.205571764705882</v>
      </c>
      <c r="AB52" s="151"/>
      <c r="AE52" s="582">
        <f t="shared" si="13"/>
        <v>0</v>
      </c>
      <c r="AF52" s="582">
        <f t="shared" si="14"/>
        <v>42.4</v>
      </c>
    </row>
    <row r="53" spans="2:32" ht="18" customHeight="1">
      <c r="B53" s="220" t="s">
        <v>260</v>
      </c>
      <c r="C53" s="221" t="s">
        <v>57</v>
      </c>
      <c r="D53" s="222">
        <v>0</v>
      </c>
      <c r="E53" s="223" t="s">
        <v>326</v>
      </c>
      <c r="F53" s="63" t="s">
        <v>262</v>
      </c>
      <c r="G53" s="63" t="s">
        <v>263</v>
      </c>
      <c r="H53" s="51" t="s">
        <v>76</v>
      </c>
      <c r="I53" s="145">
        <v>9</v>
      </c>
      <c r="J53" s="213">
        <v>1104</v>
      </c>
      <c r="K53" s="146">
        <f t="shared" ref="K53:K54" si="77">SUM(IF(J53="",0,VLOOKUP(J53,Kengetal,2)))</f>
        <v>104</v>
      </c>
      <c r="L53" s="147">
        <f t="shared" ref="L53:L54" si="78">P53*I53*U53</f>
        <v>2.3785411764705882</v>
      </c>
      <c r="M53" s="147">
        <f t="shared" ref="M53:M54" si="79">Q53*I53*V53</f>
        <v>0</v>
      </c>
      <c r="N53" s="147">
        <f t="shared" ref="N53:N54" si="80">R53*I53*W53</f>
        <v>0</v>
      </c>
      <c r="O53" s="147">
        <f t="shared" ref="O53:O54" si="81">S53*I53*X53</f>
        <v>0</v>
      </c>
      <c r="P53" s="148">
        <f t="shared" si="5"/>
        <v>0.26428235294117647</v>
      </c>
      <c r="Q53" s="147">
        <f t="shared" si="6"/>
        <v>0</v>
      </c>
      <c r="R53" s="147">
        <f t="shared" si="7"/>
        <v>0</v>
      </c>
      <c r="S53" s="147">
        <f t="shared" si="8"/>
        <v>0</v>
      </c>
      <c r="T53" s="200" t="str">
        <f t="shared" ref="T53:T54" si="82">IF(J53="","",VLOOKUP(J53,Kengetal,13,FALSE))</f>
        <v>B</v>
      </c>
      <c r="U53" s="214">
        <v>1</v>
      </c>
      <c r="V53" s="214">
        <v>1</v>
      </c>
      <c r="W53" s="214">
        <v>1</v>
      </c>
      <c r="X53" s="214">
        <v>1</v>
      </c>
      <c r="Y53" s="142"/>
      <c r="Z53" s="149">
        <f t="shared" ref="Z53:Z54" si="83">I53*K53</f>
        <v>936</v>
      </c>
      <c r="AA53" s="150">
        <f t="shared" ref="AA53:AA54" si="84">L53+M53+N53+O53</f>
        <v>2.3785411764705882</v>
      </c>
      <c r="AB53" s="151"/>
      <c r="AE53" s="582">
        <f t="shared" ref="AE53:AE54" si="85">SUMIF(H53,"Linoleum",I53)</f>
        <v>0</v>
      </c>
      <c r="AF53" s="582">
        <f t="shared" ref="AF53:AF54" si="86">SUMIF(H53,"Tapijt",I53)</f>
        <v>9</v>
      </c>
    </row>
    <row r="54" spans="2:32" ht="18" customHeight="1">
      <c r="B54" s="220" t="s">
        <v>260</v>
      </c>
      <c r="C54" s="221" t="s">
        <v>57</v>
      </c>
      <c r="D54" s="222">
        <v>0</v>
      </c>
      <c r="E54" s="223" t="s">
        <v>327</v>
      </c>
      <c r="F54" s="63" t="s">
        <v>262</v>
      </c>
      <c r="G54" s="63" t="s">
        <v>263</v>
      </c>
      <c r="H54" s="51" t="s">
        <v>76</v>
      </c>
      <c r="I54" s="145">
        <v>9</v>
      </c>
      <c r="J54" s="213">
        <v>1104</v>
      </c>
      <c r="K54" s="146">
        <f t="shared" si="77"/>
        <v>104</v>
      </c>
      <c r="L54" s="147">
        <f t="shared" si="78"/>
        <v>2.3785411764705882</v>
      </c>
      <c r="M54" s="147">
        <f t="shared" si="79"/>
        <v>0</v>
      </c>
      <c r="N54" s="147">
        <f t="shared" si="80"/>
        <v>0</v>
      </c>
      <c r="O54" s="147">
        <f t="shared" si="81"/>
        <v>0</v>
      </c>
      <c r="P54" s="148">
        <f t="shared" si="5"/>
        <v>0.26428235294117647</v>
      </c>
      <c r="Q54" s="147">
        <f t="shared" si="6"/>
        <v>0</v>
      </c>
      <c r="R54" s="147">
        <f t="shared" si="7"/>
        <v>0</v>
      </c>
      <c r="S54" s="147">
        <f t="shared" si="8"/>
        <v>0</v>
      </c>
      <c r="T54" s="200" t="str">
        <f t="shared" si="82"/>
        <v>B</v>
      </c>
      <c r="U54" s="214">
        <v>1</v>
      </c>
      <c r="V54" s="214">
        <v>1</v>
      </c>
      <c r="W54" s="214">
        <v>1</v>
      </c>
      <c r="X54" s="214">
        <v>1</v>
      </c>
      <c r="Y54" s="142"/>
      <c r="Z54" s="149">
        <f t="shared" si="83"/>
        <v>936</v>
      </c>
      <c r="AA54" s="150">
        <f t="shared" si="84"/>
        <v>2.3785411764705882</v>
      </c>
      <c r="AB54" s="151"/>
      <c r="AE54" s="582">
        <f t="shared" si="85"/>
        <v>0</v>
      </c>
      <c r="AF54" s="582">
        <f t="shared" si="86"/>
        <v>9</v>
      </c>
    </row>
    <row r="55" spans="2:32" ht="18" customHeight="1">
      <c r="B55" s="220" t="s">
        <v>260</v>
      </c>
      <c r="C55" s="221" t="s">
        <v>57</v>
      </c>
      <c r="D55" s="222">
        <v>0</v>
      </c>
      <c r="E55" s="223" t="s">
        <v>328</v>
      </c>
      <c r="F55" s="63" t="s">
        <v>329</v>
      </c>
      <c r="G55" s="63" t="s">
        <v>263</v>
      </c>
      <c r="H55" s="51" t="s">
        <v>76</v>
      </c>
      <c r="I55" s="145">
        <v>15.3</v>
      </c>
      <c r="J55" s="213">
        <v>1104</v>
      </c>
      <c r="K55" s="146">
        <f t="shared" ref="K55" si="87">SUM(IF(J55="",0,VLOOKUP(J55,Kengetal,2)))</f>
        <v>104</v>
      </c>
      <c r="L55" s="147">
        <f t="shared" ref="L55" si="88">P55*I55*U55</f>
        <v>4.04352</v>
      </c>
      <c r="M55" s="147">
        <f t="shared" ref="M55" si="89">Q55*I55*V55</f>
        <v>0</v>
      </c>
      <c r="N55" s="147">
        <f t="shared" ref="N55" si="90">R55*I55*W55</f>
        <v>0</v>
      </c>
      <c r="O55" s="147">
        <f t="shared" ref="O55" si="91">S55*I55*X55</f>
        <v>0</v>
      </c>
      <c r="P55" s="148">
        <f t="shared" si="5"/>
        <v>0.26428235294117647</v>
      </c>
      <c r="Q55" s="147">
        <f t="shared" si="6"/>
        <v>0</v>
      </c>
      <c r="R55" s="147">
        <f t="shared" si="7"/>
        <v>0</v>
      </c>
      <c r="S55" s="147">
        <f t="shared" si="8"/>
        <v>0</v>
      </c>
      <c r="T55" s="200" t="str">
        <f t="shared" ref="T55" si="92">IF(J55="","",VLOOKUP(J55,Kengetal,13,FALSE))</f>
        <v>B</v>
      </c>
      <c r="U55" s="214">
        <v>1</v>
      </c>
      <c r="V55" s="214">
        <v>1</v>
      </c>
      <c r="W55" s="214">
        <v>1</v>
      </c>
      <c r="X55" s="214">
        <v>1</v>
      </c>
      <c r="Y55" s="142"/>
      <c r="Z55" s="149">
        <f t="shared" ref="Z55" si="93">I55*K55</f>
        <v>1591.2</v>
      </c>
      <c r="AA55" s="150">
        <f t="shared" ref="AA55" si="94">L55+M55+N55+O55</f>
        <v>4.04352</v>
      </c>
      <c r="AB55" s="151"/>
      <c r="AE55" s="582">
        <f t="shared" ref="AE55" si="95">SUMIF(H55,"Linoleum",I55)</f>
        <v>0</v>
      </c>
      <c r="AF55" s="582">
        <f t="shared" ref="AF55" si="96">SUMIF(H55,"Tapijt",I55)</f>
        <v>15.3</v>
      </c>
    </row>
    <row r="56" spans="2:32" ht="18" customHeight="1">
      <c r="B56" s="220" t="s">
        <v>260</v>
      </c>
      <c r="C56" s="221" t="s">
        <v>57</v>
      </c>
      <c r="D56" s="222">
        <v>0</v>
      </c>
      <c r="E56" s="223" t="s">
        <v>330</v>
      </c>
      <c r="F56" s="63" t="s">
        <v>331</v>
      </c>
      <c r="G56" s="63" t="s">
        <v>266</v>
      </c>
      <c r="H56" s="51" t="s">
        <v>276</v>
      </c>
      <c r="I56" s="145">
        <v>14.3</v>
      </c>
      <c r="J56" s="213">
        <v>2255</v>
      </c>
      <c r="K56" s="146">
        <f t="shared" si="71"/>
        <v>255</v>
      </c>
      <c r="L56" s="147">
        <f t="shared" si="72"/>
        <v>45.874400000000001</v>
      </c>
      <c r="M56" s="147">
        <f t="shared" si="73"/>
        <v>0</v>
      </c>
      <c r="N56" s="147">
        <f t="shared" si="74"/>
        <v>0</v>
      </c>
      <c r="O56" s="147">
        <f t="shared" si="75"/>
        <v>0</v>
      </c>
      <c r="P56" s="148">
        <f t="shared" si="5"/>
        <v>3.2080000000000002</v>
      </c>
      <c r="Q56" s="147">
        <f t="shared" si="6"/>
        <v>0</v>
      </c>
      <c r="R56" s="147">
        <f t="shared" si="7"/>
        <v>0</v>
      </c>
      <c r="S56" s="147">
        <f t="shared" si="8"/>
        <v>0</v>
      </c>
      <c r="T56" s="200" t="str">
        <f t="shared" si="76"/>
        <v>S</v>
      </c>
      <c r="U56" s="214">
        <v>1</v>
      </c>
      <c r="V56" s="214">
        <v>1</v>
      </c>
      <c r="W56" s="214">
        <v>1</v>
      </c>
      <c r="X56" s="214">
        <v>1</v>
      </c>
      <c r="Y56" s="142"/>
      <c r="Z56" s="149">
        <f t="shared" si="11"/>
        <v>3646.5</v>
      </c>
      <c r="AA56" s="150">
        <f t="shared" si="12"/>
        <v>45.874400000000001</v>
      </c>
      <c r="AB56" s="151"/>
      <c r="AE56" s="582">
        <f t="shared" si="13"/>
        <v>0</v>
      </c>
      <c r="AF56" s="582">
        <f t="shared" si="14"/>
        <v>0</v>
      </c>
    </row>
    <row r="57" spans="2:32" ht="18" customHeight="1">
      <c r="B57" s="220" t="s">
        <v>260</v>
      </c>
      <c r="C57" s="221" t="s">
        <v>57</v>
      </c>
      <c r="D57" s="222">
        <v>0</v>
      </c>
      <c r="E57" s="223" t="s">
        <v>332</v>
      </c>
      <c r="F57" s="63" t="s">
        <v>333</v>
      </c>
      <c r="G57" s="63" t="s">
        <v>266</v>
      </c>
      <c r="H57" s="51" t="s">
        <v>276</v>
      </c>
      <c r="I57" s="145">
        <v>14.2</v>
      </c>
      <c r="J57" s="213">
        <v>2510</v>
      </c>
      <c r="K57" s="146">
        <f t="shared" si="71"/>
        <v>510</v>
      </c>
      <c r="L57" s="147">
        <f t="shared" si="72"/>
        <v>45.553600000000003</v>
      </c>
      <c r="M57" s="147">
        <f t="shared" si="73"/>
        <v>22.776800000000001</v>
      </c>
      <c r="N57" s="147">
        <f t="shared" si="74"/>
        <v>0</v>
      </c>
      <c r="O57" s="147">
        <f t="shared" si="75"/>
        <v>0</v>
      </c>
      <c r="P57" s="148">
        <f t="shared" si="5"/>
        <v>3.2080000000000002</v>
      </c>
      <c r="Q57" s="147">
        <f t="shared" si="6"/>
        <v>1.6040000000000001</v>
      </c>
      <c r="R57" s="147">
        <f t="shared" si="7"/>
        <v>0</v>
      </c>
      <c r="S57" s="147">
        <f t="shared" si="8"/>
        <v>0</v>
      </c>
      <c r="T57" s="200" t="str">
        <f t="shared" si="76"/>
        <v>S</v>
      </c>
      <c r="U57" s="214">
        <v>1</v>
      </c>
      <c r="V57" s="214">
        <v>1</v>
      </c>
      <c r="W57" s="214">
        <v>1</v>
      </c>
      <c r="X57" s="214">
        <v>1</v>
      </c>
      <c r="Y57" s="142"/>
      <c r="Z57" s="149">
        <f t="shared" si="11"/>
        <v>7242</v>
      </c>
      <c r="AA57" s="150">
        <f t="shared" si="12"/>
        <v>68.330399999999997</v>
      </c>
      <c r="AB57" s="151"/>
      <c r="AE57" s="582">
        <f t="shared" si="13"/>
        <v>0</v>
      </c>
      <c r="AF57" s="582">
        <f t="shared" si="14"/>
        <v>0</v>
      </c>
    </row>
    <row r="58" spans="2:32" ht="18" customHeight="1">
      <c r="B58" s="220" t="s">
        <v>260</v>
      </c>
      <c r="C58" s="221" t="s">
        <v>57</v>
      </c>
      <c r="D58" s="222">
        <v>0</v>
      </c>
      <c r="E58" s="223" t="s">
        <v>334</v>
      </c>
      <c r="F58" s="63" t="s">
        <v>335</v>
      </c>
      <c r="G58" s="63" t="s">
        <v>266</v>
      </c>
      <c r="H58" s="51" t="s">
        <v>276</v>
      </c>
      <c r="I58" s="145">
        <v>9.5</v>
      </c>
      <c r="J58" s="213">
        <v>2510</v>
      </c>
      <c r="K58" s="146">
        <f t="shared" si="0"/>
        <v>510</v>
      </c>
      <c r="L58" s="147">
        <f t="shared" si="1"/>
        <v>30.476000000000003</v>
      </c>
      <c r="M58" s="147">
        <f t="shared" si="2"/>
        <v>15.238000000000001</v>
      </c>
      <c r="N58" s="147">
        <f t="shared" si="3"/>
        <v>0</v>
      </c>
      <c r="O58" s="147">
        <f t="shared" si="4"/>
        <v>0</v>
      </c>
      <c r="P58" s="148">
        <f t="shared" si="5"/>
        <v>3.2080000000000002</v>
      </c>
      <c r="Q58" s="147">
        <f t="shared" si="6"/>
        <v>1.6040000000000001</v>
      </c>
      <c r="R58" s="147">
        <f t="shared" si="7"/>
        <v>0</v>
      </c>
      <c r="S58" s="147">
        <f t="shared" si="8"/>
        <v>0</v>
      </c>
      <c r="T58" s="200" t="str">
        <f t="shared" si="9"/>
        <v>S</v>
      </c>
      <c r="U58" s="214">
        <v>1</v>
      </c>
      <c r="V58" s="214">
        <v>1</v>
      </c>
      <c r="W58" s="214">
        <v>1</v>
      </c>
      <c r="X58" s="214">
        <v>1</v>
      </c>
      <c r="Y58" s="142"/>
      <c r="Z58" s="149">
        <f t="shared" si="11"/>
        <v>4845</v>
      </c>
      <c r="AA58" s="150">
        <f t="shared" si="12"/>
        <v>45.714000000000006</v>
      </c>
      <c r="AB58" s="151"/>
      <c r="AE58" s="582">
        <f t="shared" si="13"/>
        <v>0</v>
      </c>
      <c r="AF58" s="582">
        <f t="shared" si="14"/>
        <v>0</v>
      </c>
    </row>
    <row r="59" spans="2:32" ht="18" customHeight="1">
      <c r="B59" s="220" t="s">
        <v>260</v>
      </c>
      <c r="C59" s="221" t="s">
        <v>57</v>
      </c>
      <c r="D59" s="222">
        <v>0</v>
      </c>
      <c r="E59" s="223" t="s">
        <v>336</v>
      </c>
      <c r="F59" s="63" t="s">
        <v>331</v>
      </c>
      <c r="G59" s="63" t="s">
        <v>266</v>
      </c>
      <c r="H59" s="51" t="s">
        <v>276</v>
      </c>
      <c r="I59" s="145">
        <v>14.3</v>
      </c>
      <c r="J59" s="213">
        <v>2255</v>
      </c>
      <c r="K59" s="146">
        <f t="shared" si="0"/>
        <v>255</v>
      </c>
      <c r="L59" s="147">
        <f t="shared" si="1"/>
        <v>45.874400000000001</v>
      </c>
      <c r="M59" s="147">
        <f t="shared" si="2"/>
        <v>0</v>
      </c>
      <c r="N59" s="147">
        <f t="shared" si="3"/>
        <v>0</v>
      </c>
      <c r="O59" s="147">
        <f t="shared" si="4"/>
        <v>0</v>
      </c>
      <c r="P59" s="148">
        <f t="shared" si="5"/>
        <v>3.2080000000000002</v>
      </c>
      <c r="Q59" s="147">
        <f t="shared" si="6"/>
        <v>0</v>
      </c>
      <c r="R59" s="147">
        <f t="shared" si="7"/>
        <v>0</v>
      </c>
      <c r="S59" s="147">
        <f t="shared" si="8"/>
        <v>0</v>
      </c>
      <c r="T59" s="200" t="str">
        <f t="shared" si="9"/>
        <v>S</v>
      </c>
      <c r="U59" s="214">
        <v>1</v>
      </c>
      <c r="V59" s="214">
        <v>1</v>
      </c>
      <c r="W59" s="214">
        <v>1</v>
      </c>
      <c r="X59" s="214">
        <v>1</v>
      </c>
      <c r="Y59" s="142"/>
      <c r="Z59" s="149">
        <f t="shared" si="11"/>
        <v>3646.5</v>
      </c>
      <c r="AA59" s="150">
        <f t="shared" si="12"/>
        <v>45.874400000000001</v>
      </c>
      <c r="AB59" s="151"/>
      <c r="AE59" s="582">
        <f t="shared" si="13"/>
        <v>0</v>
      </c>
      <c r="AF59" s="582">
        <f t="shared" si="14"/>
        <v>0</v>
      </c>
    </row>
    <row r="60" spans="2:32" ht="18" customHeight="1">
      <c r="B60" s="220" t="s">
        <v>260</v>
      </c>
      <c r="C60" s="221" t="s">
        <v>57</v>
      </c>
      <c r="D60" s="222">
        <v>0</v>
      </c>
      <c r="E60" s="144" t="s">
        <v>337</v>
      </c>
      <c r="F60" s="63" t="s">
        <v>262</v>
      </c>
      <c r="G60" s="63" t="s">
        <v>263</v>
      </c>
      <c r="H60" s="51" t="s">
        <v>76</v>
      </c>
      <c r="I60" s="145">
        <v>19</v>
      </c>
      <c r="J60" s="213">
        <v>1104</v>
      </c>
      <c r="K60" s="146">
        <f t="shared" ref="K60" si="97">SUM(IF(J60="",0,VLOOKUP(J60,Kengetal,2)))</f>
        <v>104</v>
      </c>
      <c r="L60" s="147">
        <f t="shared" ref="L60" si="98">P60*I60*U60</f>
        <v>5.0213647058823527</v>
      </c>
      <c r="M60" s="147">
        <f t="shared" ref="M60" si="99">Q60*I60*V60</f>
        <v>0</v>
      </c>
      <c r="N60" s="147">
        <f t="shared" ref="N60" si="100">R60*I60*W60</f>
        <v>0</v>
      </c>
      <c r="O60" s="147">
        <f t="shared" ref="O60" si="101">S60*I60*X60</f>
        <v>0</v>
      </c>
      <c r="P60" s="148">
        <f t="shared" si="5"/>
        <v>0.26428235294117647</v>
      </c>
      <c r="Q60" s="147">
        <f t="shared" si="6"/>
        <v>0</v>
      </c>
      <c r="R60" s="147">
        <f t="shared" si="7"/>
        <v>0</v>
      </c>
      <c r="S60" s="147">
        <f t="shared" si="8"/>
        <v>0</v>
      </c>
      <c r="T60" s="200" t="str">
        <f t="shared" ref="T60" si="102">IF(J60="","",VLOOKUP(J60,Kengetal,13,FALSE))</f>
        <v>B</v>
      </c>
      <c r="U60" s="214">
        <v>1</v>
      </c>
      <c r="V60" s="214">
        <v>1</v>
      </c>
      <c r="W60" s="214">
        <v>1</v>
      </c>
      <c r="X60" s="214">
        <v>1</v>
      </c>
      <c r="Y60" s="142"/>
      <c r="Z60" s="149">
        <f t="shared" si="11"/>
        <v>1976</v>
      </c>
      <c r="AA60" s="150">
        <f t="shared" si="12"/>
        <v>5.0213647058823527</v>
      </c>
      <c r="AB60" s="151"/>
      <c r="AE60" s="582">
        <f t="shared" si="13"/>
        <v>0</v>
      </c>
      <c r="AF60" s="582">
        <f t="shared" si="14"/>
        <v>19</v>
      </c>
    </row>
    <row r="61" spans="2:32" ht="18" customHeight="1">
      <c r="B61" s="220" t="s">
        <v>260</v>
      </c>
      <c r="C61" s="221" t="s">
        <v>57</v>
      </c>
      <c r="D61" s="222">
        <v>0</v>
      </c>
      <c r="E61" s="144" t="s">
        <v>338</v>
      </c>
      <c r="F61" s="63" t="s">
        <v>339</v>
      </c>
      <c r="G61" s="63" t="s">
        <v>271</v>
      </c>
      <c r="H61" s="51" t="s">
        <v>340</v>
      </c>
      <c r="I61" s="145">
        <v>37.9</v>
      </c>
      <c r="J61" s="213">
        <v>18255</v>
      </c>
      <c r="K61" s="146">
        <f t="shared" si="0"/>
        <v>255</v>
      </c>
      <c r="L61" s="147">
        <f t="shared" si="1"/>
        <v>21.754599999999996</v>
      </c>
      <c r="M61" s="147">
        <f t="shared" si="2"/>
        <v>0</v>
      </c>
      <c r="N61" s="147">
        <f t="shared" si="3"/>
        <v>0</v>
      </c>
      <c r="O61" s="147">
        <f t="shared" si="4"/>
        <v>0</v>
      </c>
      <c r="P61" s="148">
        <f t="shared" si="5"/>
        <v>0.57399999999999995</v>
      </c>
      <c r="Q61" s="147">
        <f t="shared" si="6"/>
        <v>0</v>
      </c>
      <c r="R61" s="147">
        <f t="shared" si="7"/>
        <v>0</v>
      </c>
      <c r="S61" s="147">
        <f t="shared" si="8"/>
        <v>0</v>
      </c>
      <c r="T61" s="200" t="str">
        <f t="shared" si="9"/>
        <v>V</v>
      </c>
      <c r="U61" s="214">
        <v>1</v>
      </c>
      <c r="V61" s="214">
        <v>1</v>
      </c>
      <c r="W61" s="214">
        <v>1</v>
      </c>
      <c r="X61" s="214">
        <v>1</v>
      </c>
      <c r="Y61" s="142"/>
      <c r="Z61" s="149">
        <f t="shared" si="11"/>
        <v>9664.5</v>
      </c>
      <c r="AA61" s="150">
        <f t="shared" si="12"/>
        <v>21.754599999999996</v>
      </c>
      <c r="AB61" s="151"/>
      <c r="AE61" s="582">
        <f t="shared" si="13"/>
        <v>0</v>
      </c>
      <c r="AF61" s="582">
        <f t="shared" si="14"/>
        <v>0</v>
      </c>
    </row>
    <row r="62" spans="2:32" ht="18" customHeight="1">
      <c r="B62" s="220" t="s">
        <v>260</v>
      </c>
      <c r="C62" s="221" t="s">
        <v>57</v>
      </c>
      <c r="D62" s="222">
        <v>0</v>
      </c>
      <c r="E62" s="144" t="s">
        <v>341</v>
      </c>
      <c r="F62" s="63" t="s">
        <v>342</v>
      </c>
      <c r="G62" s="63" t="s">
        <v>271</v>
      </c>
      <c r="H62" s="51" t="s">
        <v>76</v>
      </c>
      <c r="I62" s="145">
        <v>7.2</v>
      </c>
      <c r="J62" s="213">
        <v>5255</v>
      </c>
      <c r="K62" s="146">
        <f t="shared" si="0"/>
        <v>255</v>
      </c>
      <c r="L62" s="147">
        <f t="shared" si="1"/>
        <v>5.6375999999999999</v>
      </c>
      <c r="M62" s="147">
        <f t="shared" si="2"/>
        <v>0</v>
      </c>
      <c r="N62" s="147">
        <f t="shared" si="3"/>
        <v>0</v>
      </c>
      <c r="O62" s="147">
        <f t="shared" si="4"/>
        <v>0</v>
      </c>
      <c r="P62" s="148">
        <f t="shared" si="5"/>
        <v>0.78300000000000003</v>
      </c>
      <c r="Q62" s="147">
        <f t="shared" si="6"/>
        <v>0</v>
      </c>
      <c r="R62" s="147">
        <f t="shared" si="7"/>
        <v>0</v>
      </c>
      <c r="S62" s="147">
        <f t="shared" si="8"/>
        <v>0</v>
      </c>
      <c r="T62" s="200" t="str">
        <f t="shared" si="9"/>
        <v>V</v>
      </c>
      <c r="U62" s="214">
        <v>1</v>
      </c>
      <c r="V62" s="214">
        <v>1</v>
      </c>
      <c r="W62" s="214">
        <v>1</v>
      </c>
      <c r="X62" s="214">
        <v>1</v>
      </c>
      <c r="Y62" s="142"/>
      <c r="Z62" s="149">
        <f t="shared" si="11"/>
        <v>1836</v>
      </c>
      <c r="AA62" s="150">
        <f t="shared" si="12"/>
        <v>5.6375999999999999</v>
      </c>
      <c r="AB62" s="151"/>
      <c r="AE62" s="582">
        <f t="shared" si="13"/>
        <v>0</v>
      </c>
      <c r="AF62" s="582">
        <f t="shared" si="14"/>
        <v>7.2</v>
      </c>
    </row>
    <row r="63" spans="2:32" ht="18" customHeight="1">
      <c r="B63" s="220" t="s">
        <v>260</v>
      </c>
      <c r="C63" s="221" t="s">
        <v>57</v>
      </c>
      <c r="D63" s="222">
        <v>0</v>
      </c>
      <c r="E63" s="144" t="s">
        <v>343</v>
      </c>
      <c r="F63" s="63" t="s">
        <v>339</v>
      </c>
      <c r="G63" s="63" t="s">
        <v>271</v>
      </c>
      <c r="H63" s="51" t="s">
        <v>76</v>
      </c>
      <c r="I63" s="145">
        <v>7.5</v>
      </c>
      <c r="J63" s="213">
        <v>18255</v>
      </c>
      <c r="K63" s="146">
        <f t="shared" si="0"/>
        <v>255</v>
      </c>
      <c r="L63" s="147">
        <f t="shared" si="1"/>
        <v>4.3049999999999997</v>
      </c>
      <c r="M63" s="147">
        <f t="shared" si="2"/>
        <v>0</v>
      </c>
      <c r="N63" s="147">
        <f t="shared" si="3"/>
        <v>0</v>
      </c>
      <c r="O63" s="147">
        <f t="shared" si="4"/>
        <v>0</v>
      </c>
      <c r="P63" s="148">
        <f t="shared" si="5"/>
        <v>0.57399999999999995</v>
      </c>
      <c r="Q63" s="147">
        <f t="shared" si="6"/>
        <v>0</v>
      </c>
      <c r="R63" s="147">
        <f t="shared" si="7"/>
        <v>0</v>
      </c>
      <c r="S63" s="147">
        <f t="shared" si="8"/>
        <v>0</v>
      </c>
      <c r="T63" s="200" t="str">
        <f t="shared" si="9"/>
        <v>V</v>
      </c>
      <c r="U63" s="214">
        <v>1</v>
      </c>
      <c r="V63" s="214">
        <v>1</v>
      </c>
      <c r="W63" s="214">
        <v>1</v>
      </c>
      <c r="X63" s="214">
        <v>1</v>
      </c>
      <c r="Y63" s="142"/>
      <c r="Z63" s="149">
        <f t="shared" si="11"/>
        <v>1912.5</v>
      </c>
      <c r="AA63" s="150">
        <f t="shared" si="12"/>
        <v>4.3049999999999997</v>
      </c>
      <c r="AB63" s="151"/>
      <c r="AE63" s="582">
        <f t="shared" si="13"/>
        <v>0</v>
      </c>
      <c r="AF63" s="582">
        <f t="shared" si="14"/>
        <v>7.5</v>
      </c>
    </row>
    <row r="64" spans="2:32" ht="18" customHeight="1">
      <c r="B64" s="220" t="s">
        <v>260</v>
      </c>
      <c r="C64" s="221" t="s">
        <v>57</v>
      </c>
      <c r="D64" s="222">
        <v>0</v>
      </c>
      <c r="E64" s="144" t="s">
        <v>344</v>
      </c>
      <c r="F64" s="63" t="s">
        <v>345</v>
      </c>
      <c r="G64" s="63" t="s">
        <v>271</v>
      </c>
      <c r="H64" s="51" t="s">
        <v>276</v>
      </c>
      <c r="I64" s="145">
        <v>10</v>
      </c>
      <c r="J64" s="213" t="s">
        <v>161</v>
      </c>
      <c r="K64" s="146">
        <f t="shared" ref="K64" si="103">SUM(IF(J64="",0,VLOOKUP(J64,Kengetal,2)))</f>
        <v>0</v>
      </c>
      <c r="L64" s="147">
        <f t="shared" ref="L64" si="104">P64*I64*U64</f>
        <v>0</v>
      </c>
      <c r="M64" s="147">
        <f t="shared" ref="M64" si="105">Q64*I64*V64</f>
        <v>0</v>
      </c>
      <c r="N64" s="147">
        <f t="shared" ref="N64" si="106">R64*I64*W64</f>
        <v>0</v>
      </c>
      <c r="O64" s="147">
        <f t="shared" ref="O64" si="107">S64*I64*X64</f>
        <v>0</v>
      </c>
      <c r="P64" s="148">
        <f t="shared" si="5"/>
        <v>0</v>
      </c>
      <c r="Q64" s="147">
        <f t="shared" si="6"/>
        <v>0</v>
      </c>
      <c r="R64" s="147">
        <f t="shared" si="7"/>
        <v>0</v>
      </c>
      <c r="S64" s="147">
        <f t="shared" si="8"/>
        <v>0</v>
      </c>
      <c r="T64" s="200" t="str">
        <f t="shared" ref="T64" si="108">IF(J64="","",VLOOKUP(J64,Kengetal,13,FALSE))</f>
        <v>nvt</v>
      </c>
      <c r="U64" s="214">
        <v>1</v>
      </c>
      <c r="V64" s="214">
        <v>1</v>
      </c>
      <c r="W64" s="214">
        <v>1</v>
      </c>
      <c r="X64" s="214">
        <v>1</v>
      </c>
      <c r="Y64" s="142"/>
      <c r="Z64" s="149">
        <f t="shared" si="11"/>
        <v>0</v>
      </c>
      <c r="AA64" s="150">
        <f t="shared" si="12"/>
        <v>0</v>
      </c>
      <c r="AB64" s="151"/>
      <c r="AE64" s="582">
        <f t="shared" si="13"/>
        <v>0</v>
      </c>
      <c r="AF64" s="582">
        <f t="shared" si="14"/>
        <v>0</v>
      </c>
    </row>
    <row r="65" spans="2:32" ht="18" customHeight="1">
      <c r="B65" s="220" t="s">
        <v>260</v>
      </c>
      <c r="C65" s="221" t="s">
        <v>57</v>
      </c>
      <c r="D65" s="222">
        <v>0</v>
      </c>
      <c r="E65" s="144" t="s">
        <v>346</v>
      </c>
      <c r="F65" s="63" t="s">
        <v>347</v>
      </c>
      <c r="G65" s="63" t="s">
        <v>271</v>
      </c>
      <c r="H65" s="51" t="s">
        <v>276</v>
      </c>
      <c r="I65" s="145">
        <v>29</v>
      </c>
      <c r="J65" s="213" t="s">
        <v>161</v>
      </c>
      <c r="K65" s="146">
        <f t="shared" ref="K65" si="109">SUM(IF(J65="",0,VLOOKUP(J65,Kengetal,2)))</f>
        <v>0</v>
      </c>
      <c r="L65" s="147">
        <f t="shared" ref="L65" si="110">P65*I65*U65</f>
        <v>0</v>
      </c>
      <c r="M65" s="147">
        <f t="shared" ref="M65" si="111">Q65*I65*V65</f>
        <v>0</v>
      </c>
      <c r="N65" s="147">
        <f t="shared" ref="N65" si="112">R65*I65*W65</f>
        <v>0</v>
      </c>
      <c r="O65" s="147">
        <f t="shared" ref="O65" si="113">S65*I65*X65</f>
        <v>0</v>
      </c>
      <c r="P65" s="148">
        <f t="shared" si="5"/>
        <v>0</v>
      </c>
      <c r="Q65" s="147">
        <f t="shared" si="6"/>
        <v>0</v>
      </c>
      <c r="R65" s="147">
        <f t="shared" si="7"/>
        <v>0</v>
      </c>
      <c r="S65" s="147">
        <f t="shared" si="8"/>
        <v>0</v>
      </c>
      <c r="T65" s="200" t="str">
        <f t="shared" ref="T65" si="114">IF(J65="","",VLOOKUP(J65,Kengetal,13,FALSE))</f>
        <v>nvt</v>
      </c>
      <c r="U65" s="214">
        <v>1</v>
      </c>
      <c r="V65" s="214">
        <v>1</v>
      </c>
      <c r="W65" s="214">
        <v>1</v>
      </c>
      <c r="X65" s="214">
        <v>1</v>
      </c>
      <c r="Y65" s="142"/>
      <c r="Z65" s="149">
        <f t="shared" si="11"/>
        <v>0</v>
      </c>
      <c r="AA65" s="150">
        <f t="shared" si="12"/>
        <v>0</v>
      </c>
      <c r="AB65" s="151"/>
      <c r="AE65" s="582">
        <f t="shared" si="13"/>
        <v>0</v>
      </c>
      <c r="AF65" s="582">
        <f t="shared" si="14"/>
        <v>0</v>
      </c>
    </row>
    <row r="66" spans="2:32" ht="18" customHeight="1">
      <c r="B66" s="220" t="s">
        <v>260</v>
      </c>
      <c r="C66" s="221" t="s">
        <v>57</v>
      </c>
      <c r="D66" s="222">
        <v>0</v>
      </c>
      <c r="E66" s="144" t="s">
        <v>348</v>
      </c>
      <c r="F66" s="63" t="s">
        <v>349</v>
      </c>
      <c r="G66" s="63" t="s">
        <v>271</v>
      </c>
      <c r="H66" s="51" t="s">
        <v>276</v>
      </c>
      <c r="I66" s="145">
        <v>9.8000000000000007</v>
      </c>
      <c r="J66" s="213" t="s">
        <v>161</v>
      </c>
      <c r="K66" s="146">
        <f t="shared" ref="K66:K69" si="115">SUM(IF(J66="",0,VLOOKUP(J66,Kengetal,2)))</f>
        <v>0</v>
      </c>
      <c r="L66" s="147">
        <f t="shared" ref="L66:L69" si="116">P66*I66*U66</f>
        <v>0</v>
      </c>
      <c r="M66" s="147">
        <f t="shared" ref="M66:M69" si="117">Q66*I66*V66</f>
        <v>0</v>
      </c>
      <c r="N66" s="147">
        <f t="shared" ref="N66:N69" si="118">R66*I66*W66</f>
        <v>0</v>
      </c>
      <c r="O66" s="147">
        <f t="shared" ref="O66:O69" si="119">S66*I66*X66</f>
        <v>0</v>
      </c>
      <c r="P66" s="148">
        <f t="shared" si="5"/>
        <v>0</v>
      </c>
      <c r="Q66" s="147">
        <f t="shared" si="6"/>
        <v>0</v>
      </c>
      <c r="R66" s="147">
        <f t="shared" si="7"/>
        <v>0</v>
      </c>
      <c r="S66" s="147">
        <f t="shared" si="8"/>
        <v>0</v>
      </c>
      <c r="T66" s="200" t="str">
        <f t="shared" ref="T66:T69" si="120">IF(J66="","",VLOOKUP(J66,Kengetal,13,FALSE))</f>
        <v>nvt</v>
      </c>
      <c r="U66" s="214">
        <v>1</v>
      </c>
      <c r="V66" s="214">
        <v>1</v>
      </c>
      <c r="W66" s="214">
        <v>1</v>
      </c>
      <c r="X66" s="214">
        <v>1</v>
      </c>
      <c r="Y66" s="142"/>
      <c r="Z66" s="149">
        <f t="shared" si="11"/>
        <v>0</v>
      </c>
      <c r="AA66" s="150">
        <f t="shared" si="12"/>
        <v>0</v>
      </c>
      <c r="AB66" s="151"/>
      <c r="AE66" s="582">
        <f t="shared" si="13"/>
        <v>0</v>
      </c>
      <c r="AF66" s="582">
        <f t="shared" si="14"/>
        <v>0</v>
      </c>
    </row>
    <row r="67" spans="2:32" ht="18" customHeight="1">
      <c r="B67" s="220" t="s">
        <v>260</v>
      </c>
      <c r="C67" s="221" t="s">
        <v>57</v>
      </c>
      <c r="D67" s="222">
        <v>0</v>
      </c>
      <c r="E67" s="144" t="s">
        <v>350</v>
      </c>
      <c r="F67" s="63" t="s">
        <v>351</v>
      </c>
      <c r="G67" s="63" t="s">
        <v>263</v>
      </c>
      <c r="H67" s="51" t="s">
        <v>76</v>
      </c>
      <c r="I67" s="145">
        <v>54.3</v>
      </c>
      <c r="J67" s="213">
        <v>1104</v>
      </c>
      <c r="K67" s="146">
        <f t="shared" si="115"/>
        <v>104</v>
      </c>
      <c r="L67" s="147">
        <f t="shared" si="116"/>
        <v>14.350531764705881</v>
      </c>
      <c r="M67" s="147">
        <f t="shared" si="117"/>
        <v>0</v>
      </c>
      <c r="N67" s="147">
        <f t="shared" si="118"/>
        <v>0</v>
      </c>
      <c r="O67" s="147">
        <f t="shared" si="119"/>
        <v>0</v>
      </c>
      <c r="P67" s="148">
        <f t="shared" si="5"/>
        <v>0.26428235294117647</v>
      </c>
      <c r="Q67" s="147">
        <f t="shared" si="6"/>
        <v>0</v>
      </c>
      <c r="R67" s="147">
        <f t="shared" si="7"/>
        <v>0</v>
      </c>
      <c r="S67" s="147">
        <f t="shared" si="8"/>
        <v>0</v>
      </c>
      <c r="T67" s="200" t="str">
        <f t="shared" si="120"/>
        <v>B</v>
      </c>
      <c r="U67" s="214">
        <v>1</v>
      </c>
      <c r="V67" s="214">
        <v>1</v>
      </c>
      <c r="W67" s="214">
        <v>1</v>
      </c>
      <c r="X67" s="214">
        <v>1</v>
      </c>
      <c r="Y67" s="142"/>
      <c r="Z67" s="149">
        <f t="shared" si="11"/>
        <v>5647.2</v>
      </c>
      <c r="AA67" s="150">
        <f t="shared" si="12"/>
        <v>14.350531764705881</v>
      </c>
      <c r="AB67" s="151"/>
      <c r="AE67" s="582">
        <f t="shared" si="13"/>
        <v>0</v>
      </c>
      <c r="AF67" s="582">
        <f t="shared" si="14"/>
        <v>54.3</v>
      </c>
    </row>
    <row r="68" spans="2:32" ht="18" customHeight="1">
      <c r="B68" s="220" t="s">
        <v>260</v>
      </c>
      <c r="C68" s="221" t="s">
        <v>57</v>
      </c>
      <c r="D68" s="222">
        <v>0</v>
      </c>
      <c r="E68" s="144" t="s">
        <v>352</v>
      </c>
      <c r="F68" s="63" t="s">
        <v>353</v>
      </c>
      <c r="G68" s="63" t="s">
        <v>271</v>
      </c>
      <c r="H68" s="51" t="s">
        <v>296</v>
      </c>
      <c r="I68" s="145">
        <v>13.6</v>
      </c>
      <c r="J68" s="213">
        <v>3255</v>
      </c>
      <c r="K68" s="146">
        <f t="shared" si="115"/>
        <v>255</v>
      </c>
      <c r="L68" s="147">
        <f t="shared" si="116"/>
        <v>5.0864000000000003</v>
      </c>
      <c r="M68" s="147">
        <f t="shared" si="117"/>
        <v>0</v>
      </c>
      <c r="N68" s="147">
        <f t="shared" si="118"/>
        <v>0</v>
      </c>
      <c r="O68" s="147">
        <f t="shared" si="119"/>
        <v>0</v>
      </c>
      <c r="P68" s="148">
        <f t="shared" si="5"/>
        <v>0.374</v>
      </c>
      <c r="Q68" s="147">
        <f t="shared" si="6"/>
        <v>0</v>
      </c>
      <c r="R68" s="147">
        <f t="shared" si="7"/>
        <v>0</v>
      </c>
      <c r="S68" s="147">
        <f t="shared" si="8"/>
        <v>0</v>
      </c>
      <c r="T68" s="200" t="str">
        <f t="shared" si="120"/>
        <v>V</v>
      </c>
      <c r="U68" s="214">
        <v>1</v>
      </c>
      <c r="V68" s="214">
        <v>1</v>
      </c>
      <c r="W68" s="214">
        <v>1</v>
      </c>
      <c r="X68" s="214">
        <v>1</v>
      </c>
      <c r="Y68" s="142"/>
      <c r="Z68" s="149">
        <f t="shared" si="11"/>
        <v>3468</v>
      </c>
      <c r="AA68" s="150">
        <f t="shared" si="12"/>
        <v>5.0864000000000003</v>
      </c>
      <c r="AB68" s="151"/>
      <c r="AE68" s="582">
        <f t="shared" si="13"/>
        <v>0</v>
      </c>
      <c r="AF68" s="582">
        <f t="shared" si="14"/>
        <v>0</v>
      </c>
    </row>
    <row r="69" spans="2:32" ht="18" customHeight="1">
      <c r="B69" s="220" t="s">
        <v>260</v>
      </c>
      <c r="C69" s="221" t="s">
        <v>57</v>
      </c>
      <c r="D69" s="222">
        <v>0</v>
      </c>
      <c r="E69" s="144" t="s">
        <v>354</v>
      </c>
      <c r="F69" s="63" t="s">
        <v>274</v>
      </c>
      <c r="G69" s="63" t="s">
        <v>263</v>
      </c>
      <c r="H69" s="51" t="s">
        <v>76</v>
      </c>
      <c r="I69" s="145">
        <v>23.4</v>
      </c>
      <c r="J69" s="213">
        <v>15255</v>
      </c>
      <c r="K69" s="146">
        <f t="shared" si="115"/>
        <v>255</v>
      </c>
      <c r="L69" s="147">
        <f t="shared" si="116"/>
        <v>12.987</v>
      </c>
      <c r="M69" s="147">
        <f t="shared" si="117"/>
        <v>0</v>
      </c>
      <c r="N69" s="147">
        <f t="shared" si="118"/>
        <v>0</v>
      </c>
      <c r="O69" s="147">
        <f t="shared" si="119"/>
        <v>0</v>
      </c>
      <c r="P69" s="148">
        <f t="shared" si="5"/>
        <v>0.55500000000000005</v>
      </c>
      <c r="Q69" s="147">
        <f t="shared" si="6"/>
        <v>0</v>
      </c>
      <c r="R69" s="147">
        <f t="shared" si="7"/>
        <v>0</v>
      </c>
      <c r="S69" s="147">
        <f t="shared" si="8"/>
        <v>0</v>
      </c>
      <c r="T69" s="200" t="str">
        <f t="shared" si="120"/>
        <v>B</v>
      </c>
      <c r="U69" s="214">
        <v>1</v>
      </c>
      <c r="V69" s="214">
        <v>1</v>
      </c>
      <c r="W69" s="214">
        <v>1</v>
      </c>
      <c r="X69" s="214">
        <v>1</v>
      </c>
      <c r="Y69" s="142"/>
      <c r="Z69" s="149">
        <f t="shared" si="11"/>
        <v>5967</v>
      </c>
      <c r="AA69" s="150">
        <f t="shared" si="12"/>
        <v>12.987</v>
      </c>
      <c r="AB69" s="151"/>
      <c r="AE69" s="582">
        <f t="shared" si="13"/>
        <v>0</v>
      </c>
      <c r="AF69" s="582">
        <f t="shared" si="14"/>
        <v>23.4</v>
      </c>
    </row>
    <row r="70" spans="2:32" ht="18" customHeight="1">
      <c r="B70" s="220" t="s">
        <v>260</v>
      </c>
      <c r="C70" s="221" t="s">
        <v>57</v>
      </c>
      <c r="D70" s="222">
        <v>0</v>
      </c>
      <c r="E70" s="144" t="s">
        <v>355</v>
      </c>
      <c r="F70" s="63" t="s">
        <v>356</v>
      </c>
      <c r="G70" s="63" t="s">
        <v>271</v>
      </c>
      <c r="H70" s="51" t="s">
        <v>296</v>
      </c>
      <c r="I70" s="145">
        <v>200</v>
      </c>
      <c r="J70" s="213">
        <v>18510</v>
      </c>
      <c r="K70" s="146">
        <f t="shared" si="0"/>
        <v>510</v>
      </c>
      <c r="L70" s="147">
        <f t="shared" si="1"/>
        <v>114.8</v>
      </c>
      <c r="M70" s="147">
        <f t="shared" si="2"/>
        <v>57.4</v>
      </c>
      <c r="N70" s="147">
        <f t="shared" si="3"/>
        <v>0</v>
      </c>
      <c r="O70" s="147">
        <f t="shared" si="4"/>
        <v>0</v>
      </c>
      <c r="P70" s="148">
        <f t="shared" si="5"/>
        <v>0.57399999999999995</v>
      </c>
      <c r="Q70" s="147">
        <f t="shared" si="6"/>
        <v>0.28699999999999998</v>
      </c>
      <c r="R70" s="147">
        <f t="shared" si="7"/>
        <v>0</v>
      </c>
      <c r="S70" s="147">
        <f t="shared" si="8"/>
        <v>0</v>
      </c>
      <c r="T70" s="200" t="str">
        <f t="shared" si="9"/>
        <v>V</v>
      </c>
      <c r="U70" s="214">
        <v>1</v>
      </c>
      <c r="V70" s="214">
        <v>1</v>
      </c>
      <c r="W70" s="214">
        <v>1</v>
      </c>
      <c r="X70" s="214">
        <v>1</v>
      </c>
      <c r="Y70" s="142"/>
      <c r="Z70" s="149">
        <f t="shared" si="11"/>
        <v>102000</v>
      </c>
      <c r="AA70" s="150">
        <f t="shared" si="12"/>
        <v>172.2</v>
      </c>
      <c r="AB70" s="151"/>
      <c r="AE70" s="582">
        <f t="shared" si="13"/>
        <v>0</v>
      </c>
      <c r="AF70" s="582">
        <f t="shared" si="14"/>
        <v>0</v>
      </c>
    </row>
    <row r="71" spans="2:32" ht="18" customHeight="1">
      <c r="B71" s="220" t="s">
        <v>260</v>
      </c>
      <c r="C71" s="221" t="s">
        <v>57</v>
      </c>
      <c r="D71" s="222">
        <v>0</v>
      </c>
      <c r="E71" s="144" t="s">
        <v>357</v>
      </c>
      <c r="F71" s="63" t="s">
        <v>358</v>
      </c>
      <c r="G71" s="63" t="s">
        <v>271</v>
      </c>
      <c r="H71" s="51" t="s">
        <v>359</v>
      </c>
      <c r="I71" s="145">
        <v>80</v>
      </c>
      <c r="J71" s="213">
        <v>18255</v>
      </c>
      <c r="K71" s="146">
        <f t="shared" si="0"/>
        <v>255</v>
      </c>
      <c r="L71" s="147">
        <f t="shared" si="1"/>
        <v>45.919999999999995</v>
      </c>
      <c r="M71" s="147">
        <f t="shared" si="2"/>
        <v>0</v>
      </c>
      <c r="N71" s="147">
        <f t="shared" si="3"/>
        <v>0</v>
      </c>
      <c r="O71" s="147">
        <f t="shared" si="4"/>
        <v>0</v>
      </c>
      <c r="P71" s="148">
        <f t="shared" si="5"/>
        <v>0.57399999999999995</v>
      </c>
      <c r="Q71" s="147">
        <f t="shared" si="6"/>
        <v>0</v>
      </c>
      <c r="R71" s="147">
        <f t="shared" si="7"/>
        <v>0</v>
      </c>
      <c r="S71" s="147">
        <f t="shared" si="8"/>
        <v>0</v>
      </c>
      <c r="T71" s="200" t="str">
        <f t="shared" si="9"/>
        <v>V</v>
      </c>
      <c r="U71" s="214">
        <v>1</v>
      </c>
      <c r="V71" s="214">
        <v>1</v>
      </c>
      <c r="W71" s="214">
        <v>1</v>
      </c>
      <c r="X71" s="214">
        <v>1</v>
      </c>
      <c r="Y71" s="142"/>
      <c r="Z71" s="149">
        <f t="shared" ref="Z71:Z156" si="121">I71*K71</f>
        <v>20400</v>
      </c>
      <c r="AA71" s="150">
        <f t="shared" ref="AA71:AA156" si="122">L71+M71+N71+O71</f>
        <v>45.919999999999995</v>
      </c>
      <c r="AB71" s="151"/>
      <c r="AE71" s="582">
        <f t="shared" ref="AE71:AE156" si="123">SUMIF(H71,"Linoleum",I71)</f>
        <v>0</v>
      </c>
      <c r="AF71" s="582">
        <f t="shared" ref="AF71:AF156" si="124">SUMIF(H71,"Tapijt",I71)</f>
        <v>0</v>
      </c>
    </row>
    <row r="72" spans="2:32" ht="18" customHeight="1">
      <c r="B72" s="220" t="s">
        <v>260</v>
      </c>
      <c r="C72" s="221" t="s">
        <v>57</v>
      </c>
      <c r="D72" s="222">
        <v>0</v>
      </c>
      <c r="E72" s="144" t="s">
        <v>360</v>
      </c>
      <c r="F72" s="63" t="s">
        <v>361</v>
      </c>
      <c r="G72" s="63" t="s">
        <v>266</v>
      </c>
      <c r="H72" s="51" t="s">
        <v>276</v>
      </c>
      <c r="I72" s="145">
        <v>4.4000000000000004</v>
      </c>
      <c r="J72" s="213">
        <v>2510</v>
      </c>
      <c r="K72" s="146">
        <f t="shared" si="0"/>
        <v>510</v>
      </c>
      <c r="L72" s="147">
        <f t="shared" si="1"/>
        <v>14.115200000000002</v>
      </c>
      <c r="M72" s="147">
        <f t="shared" si="2"/>
        <v>7.0576000000000008</v>
      </c>
      <c r="N72" s="147">
        <f t="shared" si="3"/>
        <v>0</v>
      </c>
      <c r="O72" s="147">
        <f t="shared" si="4"/>
        <v>0</v>
      </c>
      <c r="P72" s="148">
        <f t="shared" si="5"/>
        <v>3.2080000000000002</v>
      </c>
      <c r="Q72" s="147">
        <f t="shared" si="6"/>
        <v>1.6040000000000001</v>
      </c>
      <c r="R72" s="147">
        <f t="shared" si="7"/>
        <v>0</v>
      </c>
      <c r="S72" s="147">
        <f t="shared" si="8"/>
        <v>0</v>
      </c>
      <c r="T72" s="200" t="str">
        <f t="shared" si="9"/>
        <v>S</v>
      </c>
      <c r="U72" s="214">
        <v>1</v>
      </c>
      <c r="V72" s="214">
        <v>1</v>
      </c>
      <c r="W72" s="214">
        <v>1</v>
      </c>
      <c r="X72" s="214">
        <v>1</v>
      </c>
      <c r="Y72" s="142"/>
      <c r="Z72" s="149">
        <f t="shared" si="121"/>
        <v>2244</v>
      </c>
      <c r="AA72" s="150">
        <f t="shared" si="122"/>
        <v>21.172800000000002</v>
      </c>
      <c r="AB72" s="151"/>
      <c r="AE72" s="582">
        <f t="shared" si="123"/>
        <v>0</v>
      </c>
      <c r="AF72" s="582">
        <f t="shared" si="124"/>
        <v>0</v>
      </c>
    </row>
    <row r="73" spans="2:32" ht="18" customHeight="1">
      <c r="B73" s="220" t="s">
        <v>260</v>
      </c>
      <c r="C73" s="221" t="s">
        <v>57</v>
      </c>
      <c r="D73" s="222">
        <v>0</v>
      </c>
      <c r="E73" s="144" t="s">
        <v>362</v>
      </c>
      <c r="F73" s="63" t="s">
        <v>363</v>
      </c>
      <c r="G73" s="63" t="s">
        <v>266</v>
      </c>
      <c r="H73" s="51" t="s">
        <v>276</v>
      </c>
      <c r="I73" s="145">
        <v>10.4</v>
      </c>
      <c r="J73" s="213">
        <v>2510</v>
      </c>
      <c r="K73" s="146">
        <f t="shared" si="0"/>
        <v>510</v>
      </c>
      <c r="L73" s="147">
        <f t="shared" si="1"/>
        <v>33.363200000000006</v>
      </c>
      <c r="M73" s="147">
        <f t="shared" si="2"/>
        <v>16.681600000000003</v>
      </c>
      <c r="N73" s="147">
        <f t="shared" si="3"/>
        <v>0</v>
      </c>
      <c r="O73" s="147">
        <f t="shared" si="4"/>
        <v>0</v>
      </c>
      <c r="P73" s="148">
        <f t="shared" si="5"/>
        <v>3.2080000000000002</v>
      </c>
      <c r="Q73" s="147">
        <f t="shared" si="6"/>
        <v>1.6040000000000001</v>
      </c>
      <c r="R73" s="147">
        <f t="shared" si="7"/>
        <v>0</v>
      </c>
      <c r="S73" s="147">
        <f t="shared" si="8"/>
        <v>0</v>
      </c>
      <c r="T73" s="200" t="str">
        <f t="shared" si="9"/>
        <v>S</v>
      </c>
      <c r="U73" s="214">
        <v>1</v>
      </c>
      <c r="V73" s="214">
        <v>1</v>
      </c>
      <c r="W73" s="214">
        <v>1</v>
      </c>
      <c r="X73" s="214">
        <v>1</v>
      </c>
      <c r="Y73" s="142"/>
      <c r="Z73" s="149">
        <f t="shared" si="121"/>
        <v>5304</v>
      </c>
      <c r="AA73" s="150">
        <f t="shared" si="122"/>
        <v>50.044800000000009</v>
      </c>
      <c r="AB73" s="151"/>
      <c r="AE73" s="582">
        <f t="shared" si="123"/>
        <v>0</v>
      </c>
      <c r="AF73" s="582">
        <f t="shared" si="124"/>
        <v>0</v>
      </c>
    </row>
    <row r="74" spans="2:32" ht="18" customHeight="1">
      <c r="B74" s="220" t="s">
        <v>260</v>
      </c>
      <c r="C74" s="221" t="s">
        <v>57</v>
      </c>
      <c r="D74" s="222">
        <v>0</v>
      </c>
      <c r="E74" s="144" t="s">
        <v>364</v>
      </c>
      <c r="F74" s="63" t="s">
        <v>274</v>
      </c>
      <c r="G74" s="63" t="s">
        <v>263</v>
      </c>
      <c r="H74" s="51" t="s">
        <v>76</v>
      </c>
      <c r="I74" s="145">
        <v>11</v>
      </c>
      <c r="J74" s="213">
        <v>15255</v>
      </c>
      <c r="K74" s="146">
        <f t="shared" si="0"/>
        <v>255</v>
      </c>
      <c r="L74" s="147">
        <f t="shared" si="1"/>
        <v>6.1050000000000004</v>
      </c>
      <c r="M74" s="147">
        <f t="shared" si="2"/>
        <v>0</v>
      </c>
      <c r="N74" s="147">
        <f t="shared" si="3"/>
        <v>0</v>
      </c>
      <c r="O74" s="147">
        <f t="shared" si="4"/>
        <v>0</v>
      </c>
      <c r="P74" s="148">
        <f t="shared" si="5"/>
        <v>0.55500000000000005</v>
      </c>
      <c r="Q74" s="147">
        <f t="shared" si="6"/>
        <v>0</v>
      </c>
      <c r="R74" s="147">
        <f t="shared" si="7"/>
        <v>0</v>
      </c>
      <c r="S74" s="147">
        <f t="shared" si="8"/>
        <v>0</v>
      </c>
      <c r="T74" s="200" t="str">
        <f t="shared" si="9"/>
        <v>B</v>
      </c>
      <c r="U74" s="214">
        <v>1</v>
      </c>
      <c r="V74" s="214">
        <v>1</v>
      </c>
      <c r="W74" s="214">
        <v>1</v>
      </c>
      <c r="X74" s="214">
        <v>1</v>
      </c>
      <c r="Y74" s="142"/>
      <c r="Z74" s="149">
        <f t="shared" si="121"/>
        <v>2805</v>
      </c>
      <c r="AA74" s="150">
        <f t="shared" si="122"/>
        <v>6.1050000000000004</v>
      </c>
      <c r="AB74" s="151"/>
      <c r="AE74" s="582">
        <f t="shared" si="123"/>
        <v>0</v>
      </c>
      <c r="AF74" s="582">
        <f t="shared" si="124"/>
        <v>11</v>
      </c>
    </row>
    <row r="75" spans="2:32" ht="18" customHeight="1">
      <c r="B75" s="220" t="s">
        <v>260</v>
      </c>
      <c r="C75" s="221" t="s">
        <v>57</v>
      </c>
      <c r="D75" s="222">
        <v>0</v>
      </c>
      <c r="E75" s="144" t="s">
        <v>365</v>
      </c>
      <c r="F75" s="63" t="s">
        <v>274</v>
      </c>
      <c r="G75" s="63" t="s">
        <v>263</v>
      </c>
      <c r="H75" s="51" t="s">
        <v>76</v>
      </c>
      <c r="I75" s="145">
        <v>12</v>
      </c>
      <c r="J75" s="213">
        <v>15255</v>
      </c>
      <c r="K75" s="146">
        <f t="shared" ref="K75" si="125">SUM(IF(J75="",0,VLOOKUP(J75,Kengetal,2)))</f>
        <v>255</v>
      </c>
      <c r="L75" s="147">
        <f t="shared" ref="L75" si="126">P75*I75*U75</f>
        <v>6.66</v>
      </c>
      <c r="M75" s="147">
        <f t="shared" ref="M75" si="127">Q75*I75*V75</f>
        <v>0</v>
      </c>
      <c r="N75" s="147">
        <f t="shared" ref="N75" si="128">R75*I75*W75</f>
        <v>0</v>
      </c>
      <c r="O75" s="147">
        <f t="shared" ref="O75" si="129">S75*I75*X75</f>
        <v>0</v>
      </c>
      <c r="P75" s="148">
        <f t="shared" si="5"/>
        <v>0.55500000000000005</v>
      </c>
      <c r="Q75" s="147">
        <f t="shared" si="6"/>
        <v>0</v>
      </c>
      <c r="R75" s="147">
        <f t="shared" si="7"/>
        <v>0</v>
      </c>
      <c r="S75" s="147">
        <f t="shared" si="8"/>
        <v>0</v>
      </c>
      <c r="T75" s="200" t="str">
        <f t="shared" ref="T75" si="130">IF(J75="","",VLOOKUP(J75,Kengetal,13,FALSE))</f>
        <v>B</v>
      </c>
      <c r="U75" s="214">
        <v>1</v>
      </c>
      <c r="V75" s="214">
        <v>1</v>
      </c>
      <c r="W75" s="214">
        <v>1</v>
      </c>
      <c r="X75" s="214">
        <v>1</v>
      </c>
      <c r="Y75" s="142"/>
      <c r="Z75" s="149">
        <f t="shared" ref="Z75" si="131">I75*K75</f>
        <v>3060</v>
      </c>
      <c r="AA75" s="150">
        <f t="shared" ref="AA75" si="132">L75+M75+N75+O75</f>
        <v>6.66</v>
      </c>
      <c r="AB75" s="151"/>
      <c r="AE75" s="582">
        <f t="shared" ref="AE75" si="133">SUMIF(H75,"Linoleum",I75)</f>
        <v>0</v>
      </c>
      <c r="AF75" s="582">
        <f t="shared" ref="AF75" si="134">SUMIF(H75,"Tapijt",I75)</f>
        <v>12</v>
      </c>
    </row>
    <row r="76" spans="2:32" ht="18" customHeight="1">
      <c r="B76" s="220" t="s">
        <v>260</v>
      </c>
      <c r="C76" s="221" t="s">
        <v>57</v>
      </c>
      <c r="D76" s="222">
        <v>0</v>
      </c>
      <c r="E76" s="144" t="s">
        <v>366</v>
      </c>
      <c r="F76" s="63" t="s">
        <v>262</v>
      </c>
      <c r="G76" s="63" t="s">
        <v>263</v>
      </c>
      <c r="H76" s="51" t="s">
        <v>76</v>
      </c>
      <c r="I76" s="145">
        <v>8.6</v>
      </c>
      <c r="J76" s="213">
        <v>1104</v>
      </c>
      <c r="K76" s="146">
        <f t="shared" si="0"/>
        <v>104</v>
      </c>
      <c r="L76" s="147">
        <f t="shared" si="1"/>
        <v>2.2728282352941176</v>
      </c>
      <c r="M76" s="147">
        <f t="shared" si="2"/>
        <v>0</v>
      </c>
      <c r="N76" s="147">
        <f t="shared" si="3"/>
        <v>0</v>
      </c>
      <c r="O76" s="147">
        <f t="shared" si="4"/>
        <v>0</v>
      </c>
      <c r="P76" s="148">
        <f t="shared" si="5"/>
        <v>0.26428235294117647</v>
      </c>
      <c r="Q76" s="147">
        <f t="shared" si="6"/>
        <v>0</v>
      </c>
      <c r="R76" s="147">
        <f t="shared" si="7"/>
        <v>0</v>
      </c>
      <c r="S76" s="147">
        <f t="shared" si="8"/>
        <v>0</v>
      </c>
      <c r="T76" s="200" t="str">
        <f t="shared" si="9"/>
        <v>B</v>
      </c>
      <c r="U76" s="214">
        <v>1</v>
      </c>
      <c r="V76" s="214">
        <v>1</v>
      </c>
      <c r="W76" s="214">
        <v>1</v>
      </c>
      <c r="X76" s="214">
        <v>1</v>
      </c>
      <c r="Y76" s="142"/>
      <c r="Z76" s="149">
        <f t="shared" si="121"/>
        <v>894.4</v>
      </c>
      <c r="AA76" s="150">
        <f t="shared" si="122"/>
        <v>2.2728282352941176</v>
      </c>
      <c r="AB76" s="151"/>
      <c r="AE76" s="582">
        <f t="shared" si="123"/>
        <v>0</v>
      </c>
      <c r="AF76" s="582">
        <f t="shared" si="124"/>
        <v>8.6</v>
      </c>
    </row>
    <row r="77" spans="2:32" ht="18" customHeight="1">
      <c r="B77" s="220" t="s">
        <v>260</v>
      </c>
      <c r="C77" s="221" t="s">
        <v>57</v>
      </c>
      <c r="D77" s="222">
        <v>0</v>
      </c>
      <c r="E77" s="144" t="s">
        <v>367</v>
      </c>
      <c r="F77" s="63" t="s">
        <v>262</v>
      </c>
      <c r="G77" s="63" t="s">
        <v>263</v>
      </c>
      <c r="H77" s="51" t="s">
        <v>76</v>
      </c>
      <c r="I77" s="145">
        <v>3.6</v>
      </c>
      <c r="J77" s="213">
        <v>1104</v>
      </c>
      <c r="K77" s="146">
        <f t="shared" si="0"/>
        <v>104</v>
      </c>
      <c r="L77" s="147">
        <f t="shared" si="1"/>
        <v>0.95141647058823531</v>
      </c>
      <c r="M77" s="147">
        <f t="shared" si="2"/>
        <v>0</v>
      </c>
      <c r="N77" s="147">
        <f t="shared" si="3"/>
        <v>0</v>
      </c>
      <c r="O77" s="147">
        <f t="shared" si="4"/>
        <v>0</v>
      </c>
      <c r="P77" s="148">
        <f t="shared" si="5"/>
        <v>0.26428235294117647</v>
      </c>
      <c r="Q77" s="147">
        <f t="shared" si="6"/>
        <v>0</v>
      </c>
      <c r="R77" s="147">
        <f t="shared" si="7"/>
        <v>0</v>
      </c>
      <c r="S77" s="147">
        <f t="shared" si="8"/>
        <v>0</v>
      </c>
      <c r="T77" s="200" t="str">
        <f t="shared" si="9"/>
        <v>B</v>
      </c>
      <c r="U77" s="214">
        <v>1</v>
      </c>
      <c r="V77" s="214">
        <v>1</v>
      </c>
      <c r="W77" s="214">
        <v>1</v>
      </c>
      <c r="X77" s="214">
        <v>1</v>
      </c>
      <c r="Y77" s="142"/>
      <c r="Z77" s="149">
        <f t="shared" si="121"/>
        <v>374.40000000000003</v>
      </c>
      <c r="AA77" s="150">
        <f t="shared" si="122"/>
        <v>0.95141647058823531</v>
      </c>
      <c r="AB77" s="151"/>
      <c r="AE77" s="582">
        <f t="shared" si="123"/>
        <v>0</v>
      </c>
      <c r="AF77" s="582">
        <f t="shared" si="124"/>
        <v>3.6</v>
      </c>
    </row>
    <row r="78" spans="2:32" ht="18" customHeight="1">
      <c r="B78" s="220" t="s">
        <v>260</v>
      </c>
      <c r="C78" s="221" t="s">
        <v>57</v>
      </c>
      <c r="D78" s="222">
        <v>0</v>
      </c>
      <c r="E78" s="144" t="s">
        <v>368</v>
      </c>
      <c r="F78" s="63" t="s">
        <v>262</v>
      </c>
      <c r="G78" s="63" t="s">
        <v>263</v>
      </c>
      <c r="H78" s="51" t="s">
        <v>76</v>
      </c>
      <c r="I78" s="145">
        <v>4.7</v>
      </c>
      <c r="J78" s="213">
        <v>1104</v>
      </c>
      <c r="K78" s="146">
        <f t="shared" ref="K78:K156" si="135">SUM(IF(J78="",0,VLOOKUP(J78,Kengetal,2)))</f>
        <v>104</v>
      </c>
      <c r="L78" s="147">
        <f t="shared" si="1"/>
        <v>1.2421270588235294</v>
      </c>
      <c r="M78" s="147">
        <f t="shared" si="2"/>
        <v>0</v>
      </c>
      <c r="N78" s="147">
        <f t="shared" si="3"/>
        <v>0</v>
      </c>
      <c r="O78" s="147">
        <f t="shared" si="4"/>
        <v>0</v>
      </c>
      <c r="P78" s="148">
        <f t="shared" ref="P78:P156" si="136">IF($J78="",0,VLOOKUP($J78,Kengetal,5,FALSE))</f>
        <v>0.26428235294117647</v>
      </c>
      <c r="Q78" s="147">
        <f t="shared" ref="Q78:Q156" si="137">IF($J78="",0,VLOOKUP($J78,Kengetal,6,FALSE))</f>
        <v>0</v>
      </c>
      <c r="R78" s="147">
        <f t="shared" ref="R78:R156" si="138">IF($J78="",0,VLOOKUP($J78,Kengetal,7,FALSE))</f>
        <v>0</v>
      </c>
      <c r="S78" s="147">
        <f t="shared" ref="S78:S156" si="139">IF($J78="",0,VLOOKUP($J78,Kengetal,8,FALSE))</f>
        <v>0</v>
      </c>
      <c r="T78" s="200" t="str">
        <f t="shared" ref="T78:T156" si="140">IF(J78="","",VLOOKUP(J78,Kengetal,13,FALSE))</f>
        <v>B</v>
      </c>
      <c r="U78" s="214">
        <v>1</v>
      </c>
      <c r="V78" s="214">
        <v>1</v>
      </c>
      <c r="W78" s="214">
        <v>1</v>
      </c>
      <c r="X78" s="214">
        <v>1</v>
      </c>
      <c r="Y78" s="142"/>
      <c r="Z78" s="149">
        <f t="shared" si="121"/>
        <v>488.8</v>
      </c>
      <c r="AA78" s="150">
        <f t="shared" si="122"/>
        <v>1.2421270588235294</v>
      </c>
      <c r="AB78" s="151"/>
      <c r="AE78" s="582">
        <f t="shared" si="123"/>
        <v>0</v>
      </c>
      <c r="AF78" s="582">
        <f t="shared" si="124"/>
        <v>4.7</v>
      </c>
    </row>
    <row r="79" spans="2:32" ht="18" customHeight="1">
      <c r="B79" s="220" t="s">
        <v>260</v>
      </c>
      <c r="C79" s="221" t="s">
        <v>57</v>
      </c>
      <c r="D79" s="222">
        <v>0</v>
      </c>
      <c r="E79" s="144" t="s">
        <v>369</v>
      </c>
      <c r="F79" s="63" t="s">
        <v>370</v>
      </c>
      <c r="G79" s="63" t="s">
        <v>271</v>
      </c>
      <c r="H79" s="51" t="s">
        <v>371</v>
      </c>
      <c r="I79" s="145">
        <v>42.2</v>
      </c>
      <c r="J79" s="213">
        <v>6255</v>
      </c>
      <c r="K79" s="146">
        <f t="shared" si="135"/>
        <v>255</v>
      </c>
      <c r="L79" s="147">
        <f t="shared" si="1"/>
        <v>47.432800000000007</v>
      </c>
      <c r="M79" s="147">
        <f t="shared" si="2"/>
        <v>0</v>
      </c>
      <c r="N79" s="147">
        <f t="shared" si="3"/>
        <v>0</v>
      </c>
      <c r="O79" s="147">
        <f t="shared" si="4"/>
        <v>0</v>
      </c>
      <c r="P79" s="148">
        <f t="shared" si="136"/>
        <v>1.1240000000000001</v>
      </c>
      <c r="Q79" s="147">
        <f t="shared" si="137"/>
        <v>0</v>
      </c>
      <c r="R79" s="147">
        <f t="shared" si="138"/>
        <v>0</v>
      </c>
      <c r="S79" s="147">
        <f t="shared" si="139"/>
        <v>0</v>
      </c>
      <c r="T79" s="200" t="str">
        <f t="shared" si="140"/>
        <v>V</v>
      </c>
      <c r="U79" s="214">
        <v>1</v>
      </c>
      <c r="V79" s="214">
        <v>1</v>
      </c>
      <c r="W79" s="214">
        <v>1</v>
      </c>
      <c r="X79" s="214">
        <v>1</v>
      </c>
      <c r="Y79" s="142"/>
      <c r="Z79" s="149">
        <f t="shared" si="121"/>
        <v>10761</v>
      </c>
      <c r="AA79" s="150">
        <f t="shared" si="122"/>
        <v>47.432800000000007</v>
      </c>
      <c r="AB79" s="151"/>
      <c r="AE79" s="582">
        <f t="shared" si="123"/>
        <v>0</v>
      </c>
      <c r="AF79" s="582">
        <f t="shared" si="124"/>
        <v>0</v>
      </c>
    </row>
    <row r="80" spans="2:32" ht="18" customHeight="1">
      <c r="B80" s="220" t="s">
        <v>260</v>
      </c>
      <c r="C80" s="221" t="s">
        <v>57</v>
      </c>
      <c r="D80" s="222">
        <v>0</v>
      </c>
      <c r="E80" s="144" t="s">
        <v>372</v>
      </c>
      <c r="F80" s="63" t="s">
        <v>274</v>
      </c>
      <c r="G80" s="63" t="s">
        <v>263</v>
      </c>
      <c r="H80" s="51" t="s">
        <v>76</v>
      </c>
      <c r="I80" s="145">
        <v>20.3</v>
      </c>
      <c r="J80" s="213">
        <v>15255</v>
      </c>
      <c r="K80" s="146">
        <f t="shared" si="135"/>
        <v>255</v>
      </c>
      <c r="L80" s="147">
        <f t="shared" si="1"/>
        <v>11.266500000000001</v>
      </c>
      <c r="M80" s="147">
        <f t="shared" si="2"/>
        <v>0</v>
      </c>
      <c r="N80" s="147">
        <f t="shared" si="3"/>
        <v>0</v>
      </c>
      <c r="O80" s="147">
        <f t="shared" si="4"/>
        <v>0</v>
      </c>
      <c r="P80" s="148">
        <f t="shared" si="136"/>
        <v>0.55500000000000005</v>
      </c>
      <c r="Q80" s="147">
        <f t="shared" si="137"/>
        <v>0</v>
      </c>
      <c r="R80" s="147">
        <f t="shared" si="138"/>
        <v>0</v>
      </c>
      <c r="S80" s="147">
        <f t="shared" si="139"/>
        <v>0</v>
      </c>
      <c r="T80" s="200" t="str">
        <f t="shared" si="140"/>
        <v>B</v>
      </c>
      <c r="U80" s="214">
        <v>1</v>
      </c>
      <c r="V80" s="214">
        <v>1</v>
      </c>
      <c r="W80" s="214">
        <v>1</v>
      </c>
      <c r="X80" s="214">
        <v>1</v>
      </c>
      <c r="Y80" s="142"/>
      <c r="Z80" s="149">
        <f t="shared" si="121"/>
        <v>5176.5</v>
      </c>
      <c r="AA80" s="150">
        <f t="shared" si="122"/>
        <v>11.266500000000001</v>
      </c>
      <c r="AB80" s="151"/>
      <c r="AE80" s="582">
        <f t="shared" si="123"/>
        <v>0</v>
      </c>
      <c r="AF80" s="582">
        <f t="shared" si="124"/>
        <v>20.3</v>
      </c>
    </row>
    <row r="81" spans="2:32" ht="18" customHeight="1">
      <c r="B81" s="220" t="s">
        <v>260</v>
      </c>
      <c r="C81" s="221" t="s">
        <v>57</v>
      </c>
      <c r="D81" s="222">
        <v>0</v>
      </c>
      <c r="E81" s="144" t="s">
        <v>373</v>
      </c>
      <c r="F81" s="63" t="s">
        <v>262</v>
      </c>
      <c r="G81" s="63" t="s">
        <v>263</v>
      </c>
      <c r="H81" s="51" t="s">
        <v>76</v>
      </c>
      <c r="I81" s="145">
        <v>9.1</v>
      </c>
      <c r="J81" s="213">
        <v>1104</v>
      </c>
      <c r="K81" s="146">
        <f t="shared" ref="K81" si="141">SUM(IF(J81="",0,VLOOKUP(J81,Kengetal,2)))</f>
        <v>104</v>
      </c>
      <c r="L81" s="147">
        <f t="shared" ref="L81" si="142">P81*I81*U81</f>
        <v>2.4049694117647058</v>
      </c>
      <c r="M81" s="147">
        <f t="shared" ref="M81" si="143">Q81*I81*V81</f>
        <v>0</v>
      </c>
      <c r="N81" s="147">
        <f t="shared" ref="N81" si="144">R81*I81*W81</f>
        <v>0</v>
      </c>
      <c r="O81" s="147">
        <f t="shared" ref="O81" si="145">S81*I81*X81</f>
        <v>0</v>
      </c>
      <c r="P81" s="148">
        <f t="shared" si="136"/>
        <v>0.26428235294117647</v>
      </c>
      <c r="Q81" s="147">
        <f t="shared" si="137"/>
        <v>0</v>
      </c>
      <c r="R81" s="147">
        <f t="shared" si="138"/>
        <v>0</v>
      </c>
      <c r="S81" s="147">
        <f t="shared" si="139"/>
        <v>0</v>
      </c>
      <c r="T81" s="200" t="str">
        <f t="shared" ref="T81" si="146">IF(J81="","",VLOOKUP(J81,Kengetal,13,FALSE))</f>
        <v>B</v>
      </c>
      <c r="U81" s="214">
        <v>1</v>
      </c>
      <c r="V81" s="214">
        <v>1</v>
      </c>
      <c r="W81" s="214">
        <v>1</v>
      </c>
      <c r="X81" s="214">
        <v>1</v>
      </c>
      <c r="Y81" s="142"/>
      <c r="Z81" s="149">
        <f t="shared" ref="Z81" si="147">I81*K81</f>
        <v>946.4</v>
      </c>
      <c r="AA81" s="150">
        <f t="shared" ref="AA81" si="148">L81+M81+N81+O81</f>
        <v>2.4049694117647058</v>
      </c>
      <c r="AB81" s="151"/>
      <c r="AE81" s="582">
        <f t="shared" ref="AE81" si="149">SUMIF(H81,"Linoleum",I81)</f>
        <v>0</v>
      </c>
      <c r="AF81" s="582">
        <f t="shared" ref="AF81" si="150">SUMIF(H81,"Tapijt",I81)</f>
        <v>9.1</v>
      </c>
    </row>
    <row r="82" spans="2:32" ht="18" customHeight="1">
      <c r="B82" s="220" t="s">
        <v>260</v>
      </c>
      <c r="C82" s="221" t="s">
        <v>57</v>
      </c>
      <c r="D82" s="222">
        <v>0</v>
      </c>
      <c r="E82" s="144" t="s">
        <v>374</v>
      </c>
      <c r="F82" s="63" t="s">
        <v>262</v>
      </c>
      <c r="G82" s="63" t="s">
        <v>263</v>
      </c>
      <c r="H82" s="51" t="s">
        <v>76</v>
      </c>
      <c r="I82" s="145">
        <v>9.1999999999999993</v>
      </c>
      <c r="J82" s="213">
        <v>1104</v>
      </c>
      <c r="K82" s="146">
        <f t="shared" ref="K82" si="151">SUM(IF(J82="",0,VLOOKUP(J82,Kengetal,2)))</f>
        <v>104</v>
      </c>
      <c r="L82" s="147">
        <f t="shared" ref="L82" si="152">P82*I82*U82</f>
        <v>2.4313976470588234</v>
      </c>
      <c r="M82" s="147">
        <f t="shared" ref="M82" si="153">Q82*I82*V82</f>
        <v>0</v>
      </c>
      <c r="N82" s="147">
        <f t="shared" ref="N82" si="154">R82*I82*W82</f>
        <v>0</v>
      </c>
      <c r="O82" s="147">
        <f t="shared" ref="O82" si="155">S82*I82*X82</f>
        <v>0</v>
      </c>
      <c r="P82" s="148">
        <f t="shared" si="136"/>
        <v>0.26428235294117647</v>
      </c>
      <c r="Q82" s="147">
        <f t="shared" si="137"/>
        <v>0</v>
      </c>
      <c r="R82" s="147">
        <f t="shared" si="138"/>
        <v>0</v>
      </c>
      <c r="S82" s="147">
        <f t="shared" si="139"/>
        <v>0</v>
      </c>
      <c r="T82" s="200" t="str">
        <f t="shared" ref="T82" si="156">IF(J82="","",VLOOKUP(J82,Kengetal,13,FALSE))</f>
        <v>B</v>
      </c>
      <c r="U82" s="214">
        <v>1</v>
      </c>
      <c r="V82" s="214">
        <v>1</v>
      </c>
      <c r="W82" s="214">
        <v>1</v>
      </c>
      <c r="X82" s="214">
        <v>1</v>
      </c>
      <c r="Y82" s="142"/>
      <c r="Z82" s="149">
        <f t="shared" ref="Z82" si="157">I82*K82</f>
        <v>956.8</v>
      </c>
      <c r="AA82" s="150">
        <f t="shared" ref="AA82" si="158">L82+M82+N82+O82</f>
        <v>2.4313976470588234</v>
      </c>
      <c r="AB82" s="151"/>
      <c r="AE82" s="582">
        <f t="shared" ref="AE82" si="159">SUMIF(H82,"Linoleum",I82)</f>
        <v>0</v>
      </c>
      <c r="AF82" s="582">
        <f t="shared" ref="AF82" si="160">SUMIF(H82,"Tapijt",I82)</f>
        <v>9.1999999999999993</v>
      </c>
    </row>
    <row r="83" spans="2:32" ht="18" customHeight="1">
      <c r="B83" s="220" t="s">
        <v>260</v>
      </c>
      <c r="C83" s="221" t="s">
        <v>57</v>
      </c>
      <c r="D83" s="222">
        <v>0</v>
      </c>
      <c r="E83" s="144" t="s">
        <v>375</v>
      </c>
      <c r="F83" s="63" t="s">
        <v>305</v>
      </c>
      <c r="G83" s="63" t="s">
        <v>271</v>
      </c>
      <c r="H83" s="51" t="s">
        <v>296</v>
      </c>
      <c r="I83" s="145">
        <v>11.8</v>
      </c>
      <c r="J83" s="213">
        <v>5052</v>
      </c>
      <c r="K83" s="146">
        <f t="shared" si="135"/>
        <v>52</v>
      </c>
      <c r="L83" s="147">
        <f t="shared" si="1"/>
        <v>2.637758117647059</v>
      </c>
      <c r="M83" s="147">
        <f t="shared" si="2"/>
        <v>0</v>
      </c>
      <c r="N83" s="147">
        <f t="shared" si="3"/>
        <v>0</v>
      </c>
      <c r="O83" s="147">
        <f t="shared" si="4"/>
        <v>0</v>
      </c>
      <c r="P83" s="148">
        <f t="shared" si="136"/>
        <v>0.22353882352941176</v>
      </c>
      <c r="Q83" s="147">
        <f t="shared" si="137"/>
        <v>0</v>
      </c>
      <c r="R83" s="147">
        <f t="shared" si="138"/>
        <v>0</v>
      </c>
      <c r="S83" s="147">
        <f t="shared" si="139"/>
        <v>0</v>
      </c>
      <c r="T83" s="200" t="str">
        <f t="shared" si="140"/>
        <v>V</v>
      </c>
      <c r="U83" s="214">
        <v>1</v>
      </c>
      <c r="V83" s="214">
        <v>1</v>
      </c>
      <c r="W83" s="214">
        <v>1</v>
      </c>
      <c r="X83" s="214">
        <v>1</v>
      </c>
      <c r="Y83" s="142"/>
      <c r="Z83" s="149">
        <f t="shared" si="121"/>
        <v>613.6</v>
      </c>
      <c r="AA83" s="150">
        <f t="shared" si="122"/>
        <v>2.637758117647059</v>
      </c>
      <c r="AB83" s="151"/>
      <c r="AE83" s="582">
        <f t="shared" si="123"/>
        <v>0</v>
      </c>
      <c r="AF83" s="582">
        <f t="shared" si="124"/>
        <v>0</v>
      </c>
    </row>
    <row r="84" spans="2:32" ht="18" customHeight="1">
      <c r="B84" s="220" t="s">
        <v>260</v>
      </c>
      <c r="C84" s="221" t="s">
        <v>57</v>
      </c>
      <c r="D84" s="222">
        <v>0</v>
      </c>
      <c r="E84" s="144" t="s">
        <v>376</v>
      </c>
      <c r="F84" s="63" t="s">
        <v>281</v>
      </c>
      <c r="G84" s="63" t="s">
        <v>271</v>
      </c>
      <c r="H84" s="51" t="s">
        <v>296</v>
      </c>
      <c r="I84" s="145">
        <v>19</v>
      </c>
      <c r="J84" s="213">
        <v>5255</v>
      </c>
      <c r="K84" s="146">
        <f t="shared" si="135"/>
        <v>255</v>
      </c>
      <c r="L84" s="147">
        <f t="shared" si="1"/>
        <v>14.877000000000001</v>
      </c>
      <c r="M84" s="147">
        <f t="shared" si="2"/>
        <v>0</v>
      </c>
      <c r="N84" s="147">
        <f t="shared" si="3"/>
        <v>0</v>
      </c>
      <c r="O84" s="147">
        <f t="shared" si="4"/>
        <v>0</v>
      </c>
      <c r="P84" s="148">
        <f t="shared" si="136"/>
        <v>0.78300000000000003</v>
      </c>
      <c r="Q84" s="147">
        <f t="shared" si="137"/>
        <v>0</v>
      </c>
      <c r="R84" s="147">
        <f t="shared" si="138"/>
        <v>0</v>
      </c>
      <c r="S84" s="147">
        <f t="shared" si="139"/>
        <v>0</v>
      </c>
      <c r="T84" s="200" t="str">
        <f t="shared" si="140"/>
        <v>V</v>
      </c>
      <c r="U84" s="214">
        <v>1</v>
      </c>
      <c r="V84" s="214">
        <v>1</v>
      </c>
      <c r="W84" s="214">
        <v>1</v>
      </c>
      <c r="X84" s="214">
        <v>1</v>
      </c>
      <c r="Y84" s="142"/>
      <c r="Z84" s="149">
        <f t="shared" si="121"/>
        <v>4845</v>
      </c>
      <c r="AA84" s="150">
        <f t="shared" si="122"/>
        <v>14.877000000000001</v>
      </c>
      <c r="AB84" s="151"/>
      <c r="AE84" s="582">
        <f t="shared" si="123"/>
        <v>0</v>
      </c>
      <c r="AF84" s="582">
        <f t="shared" si="124"/>
        <v>0</v>
      </c>
    </row>
    <row r="85" spans="2:32" ht="18" customHeight="1">
      <c r="B85" s="220" t="s">
        <v>260</v>
      </c>
      <c r="C85" s="221" t="s">
        <v>57</v>
      </c>
      <c r="D85" s="222">
        <v>0</v>
      </c>
      <c r="E85" s="144" t="s">
        <v>377</v>
      </c>
      <c r="F85" s="63" t="s">
        <v>353</v>
      </c>
      <c r="G85" s="63" t="s">
        <v>271</v>
      </c>
      <c r="H85" s="51" t="s">
        <v>378</v>
      </c>
      <c r="I85" s="145">
        <v>28.8</v>
      </c>
      <c r="J85" s="213">
        <v>3510</v>
      </c>
      <c r="K85" s="146">
        <f t="shared" si="135"/>
        <v>510</v>
      </c>
      <c r="L85" s="147">
        <f t="shared" si="1"/>
        <v>10.7712</v>
      </c>
      <c r="M85" s="147">
        <f t="shared" si="2"/>
        <v>5.3856000000000002</v>
      </c>
      <c r="N85" s="147">
        <f t="shared" si="3"/>
        <v>0</v>
      </c>
      <c r="O85" s="147">
        <f t="shared" si="4"/>
        <v>0</v>
      </c>
      <c r="P85" s="148">
        <f t="shared" si="136"/>
        <v>0.374</v>
      </c>
      <c r="Q85" s="147">
        <f t="shared" si="137"/>
        <v>0.187</v>
      </c>
      <c r="R85" s="147">
        <f t="shared" si="138"/>
        <v>0</v>
      </c>
      <c r="S85" s="147">
        <f t="shared" si="139"/>
        <v>0</v>
      </c>
      <c r="T85" s="200" t="str">
        <f t="shared" si="140"/>
        <v>V</v>
      </c>
      <c r="U85" s="214">
        <v>1</v>
      </c>
      <c r="V85" s="214">
        <v>1</v>
      </c>
      <c r="W85" s="214">
        <v>1</v>
      </c>
      <c r="X85" s="214">
        <v>1</v>
      </c>
      <c r="Y85" s="142"/>
      <c r="Z85" s="149">
        <f t="shared" si="121"/>
        <v>14688</v>
      </c>
      <c r="AA85" s="150">
        <f t="shared" si="122"/>
        <v>16.1568</v>
      </c>
      <c r="AB85" s="151"/>
      <c r="AE85" s="582">
        <f t="shared" si="123"/>
        <v>0</v>
      </c>
      <c r="AF85" s="582">
        <f t="shared" si="124"/>
        <v>0</v>
      </c>
    </row>
    <row r="86" spans="2:32" ht="18" customHeight="1">
      <c r="B86" s="220" t="s">
        <v>260</v>
      </c>
      <c r="C86" s="221" t="s">
        <v>57</v>
      </c>
      <c r="D86" s="222">
        <v>0</v>
      </c>
      <c r="E86" s="144" t="s">
        <v>379</v>
      </c>
      <c r="F86" s="63" t="s">
        <v>339</v>
      </c>
      <c r="G86" s="63" t="s">
        <v>271</v>
      </c>
      <c r="H86" s="51" t="s">
        <v>76</v>
      </c>
      <c r="I86" s="145">
        <v>14.3</v>
      </c>
      <c r="J86" s="213">
        <v>18255</v>
      </c>
      <c r="K86" s="146">
        <f t="shared" si="135"/>
        <v>255</v>
      </c>
      <c r="L86" s="147">
        <f t="shared" si="1"/>
        <v>8.2081999999999997</v>
      </c>
      <c r="M86" s="147">
        <f t="shared" si="2"/>
        <v>0</v>
      </c>
      <c r="N86" s="147">
        <f t="shared" si="3"/>
        <v>0</v>
      </c>
      <c r="O86" s="147">
        <f t="shared" si="4"/>
        <v>0</v>
      </c>
      <c r="P86" s="148">
        <f t="shared" si="136"/>
        <v>0.57399999999999995</v>
      </c>
      <c r="Q86" s="147">
        <f t="shared" si="137"/>
        <v>0</v>
      </c>
      <c r="R86" s="147">
        <f t="shared" si="138"/>
        <v>0</v>
      </c>
      <c r="S86" s="147">
        <f t="shared" si="139"/>
        <v>0</v>
      </c>
      <c r="T86" s="200" t="str">
        <f t="shared" si="140"/>
        <v>V</v>
      </c>
      <c r="U86" s="214">
        <v>1</v>
      </c>
      <c r="V86" s="214">
        <v>1</v>
      </c>
      <c r="W86" s="214">
        <v>1</v>
      </c>
      <c r="X86" s="214">
        <v>1</v>
      </c>
      <c r="Y86" s="142"/>
      <c r="Z86" s="149">
        <f t="shared" si="121"/>
        <v>3646.5</v>
      </c>
      <c r="AA86" s="150">
        <f t="shared" si="122"/>
        <v>8.2081999999999997</v>
      </c>
      <c r="AB86" s="151"/>
      <c r="AE86" s="582">
        <f t="shared" si="123"/>
        <v>0</v>
      </c>
      <c r="AF86" s="582">
        <f t="shared" si="124"/>
        <v>14.3</v>
      </c>
    </row>
    <row r="87" spans="2:32" ht="18" customHeight="1">
      <c r="B87" s="220" t="s">
        <v>260</v>
      </c>
      <c r="C87" s="221" t="s">
        <v>57</v>
      </c>
      <c r="D87" s="222">
        <v>0</v>
      </c>
      <c r="E87" s="144" t="s">
        <v>380</v>
      </c>
      <c r="F87" s="63" t="s">
        <v>381</v>
      </c>
      <c r="G87" s="63" t="s">
        <v>271</v>
      </c>
      <c r="H87" s="51" t="s">
        <v>76</v>
      </c>
      <c r="I87" s="145">
        <v>7.1</v>
      </c>
      <c r="J87" s="213">
        <v>1104</v>
      </c>
      <c r="K87" s="146">
        <f t="shared" si="135"/>
        <v>104</v>
      </c>
      <c r="L87" s="147">
        <f t="shared" si="1"/>
        <v>1.8764047058823528</v>
      </c>
      <c r="M87" s="147">
        <f t="shared" si="2"/>
        <v>0</v>
      </c>
      <c r="N87" s="147">
        <f t="shared" si="3"/>
        <v>0</v>
      </c>
      <c r="O87" s="147">
        <f t="shared" si="4"/>
        <v>0</v>
      </c>
      <c r="P87" s="148">
        <f t="shared" si="136"/>
        <v>0.26428235294117647</v>
      </c>
      <c r="Q87" s="147">
        <f t="shared" si="137"/>
        <v>0</v>
      </c>
      <c r="R87" s="147">
        <f t="shared" si="138"/>
        <v>0</v>
      </c>
      <c r="S87" s="147">
        <f t="shared" si="139"/>
        <v>0</v>
      </c>
      <c r="T87" s="200" t="str">
        <f t="shared" si="140"/>
        <v>B</v>
      </c>
      <c r="U87" s="214">
        <v>1</v>
      </c>
      <c r="V87" s="214">
        <v>1</v>
      </c>
      <c r="W87" s="214">
        <v>1</v>
      </c>
      <c r="X87" s="214">
        <v>1</v>
      </c>
      <c r="Y87" s="142"/>
      <c r="Z87" s="149">
        <f t="shared" si="121"/>
        <v>738.4</v>
      </c>
      <c r="AA87" s="150">
        <f t="shared" si="122"/>
        <v>1.8764047058823528</v>
      </c>
      <c r="AB87" s="151"/>
      <c r="AE87" s="582">
        <f t="shared" si="123"/>
        <v>0</v>
      </c>
      <c r="AF87" s="582">
        <f t="shared" si="124"/>
        <v>7.1</v>
      </c>
    </row>
    <row r="88" spans="2:32" ht="18" customHeight="1">
      <c r="B88" s="220" t="s">
        <v>260</v>
      </c>
      <c r="C88" s="221" t="s">
        <v>57</v>
      </c>
      <c r="D88" s="222">
        <v>0</v>
      </c>
      <c r="E88" s="144" t="s">
        <v>382</v>
      </c>
      <c r="F88" s="63" t="s">
        <v>383</v>
      </c>
      <c r="G88" s="63" t="s">
        <v>263</v>
      </c>
      <c r="H88" s="51" t="s">
        <v>76</v>
      </c>
      <c r="I88" s="145">
        <v>294</v>
      </c>
      <c r="J88" s="213">
        <v>1104</v>
      </c>
      <c r="K88" s="146">
        <f t="shared" si="135"/>
        <v>104</v>
      </c>
      <c r="L88" s="147">
        <f t="shared" si="1"/>
        <v>77.699011764705887</v>
      </c>
      <c r="M88" s="147">
        <f t="shared" si="2"/>
        <v>0</v>
      </c>
      <c r="N88" s="147">
        <f t="shared" si="3"/>
        <v>0</v>
      </c>
      <c r="O88" s="147">
        <f t="shared" si="4"/>
        <v>0</v>
      </c>
      <c r="P88" s="148">
        <f t="shared" si="136"/>
        <v>0.26428235294117647</v>
      </c>
      <c r="Q88" s="147">
        <f t="shared" si="137"/>
        <v>0</v>
      </c>
      <c r="R88" s="147">
        <f t="shared" si="138"/>
        <v>0</v>
      </c>
      <c r="S88" s="147">
        <f t="shared" si="139"/>
        <v>0</v>
      </c>
      <c r="T88" s="200" t="str">
        <f t="shared" si="140"/>
        <v>B</v>
      </c>
      <c r="U88" s="214">
        <v>1</v>
      </c>
      <c r="V88" s="214">
        <v>1</v>
      </c>
      <c r="W88" s="214">
        <v>1</v>
      </c>
      <c r="X88" s="214">
        <v>1</v>
      </c>
      <c r="Y88" s="142"/>
      <c r="Z88" s="149">
        <f t="shared" si="121"/>
        <v>30576</v>
      </c>
      <c r="AA88" s="150">
        <f t="shared" si="122"/>
        <v>77.699011764705887</v>
      </c>
      <c r="AB88" s="151"/>
      <c r="AE88" s="582">
        <f t="shared" si="123"/>
        <v>0</v>
      </c>
      <c r="AF88" s="582">
        <f t="shared" si="124"/>
        <v>294</v>
      </c>
    </row>
    <row r="89" spans="2:32" ht="18" customHeight="1">
      <c r="B89" s="220" t="s">
        <v>260</v>
      </c>
      <c r="C89" s="221" t="s">
        <v>57</v>
      </c>
      <c r="D89" s="222">
        <v>0</v>
      </c>
      <c r="E89" s="144" t="s">
        <v>384</v>
      </c>
      <c r="F89" s="63" t="s">
        <v>385</v>
      </c>
      <c r="G89" s="63" t="s">
        <v>271</v>
      </c>
      <c r="H89" s="51" t="s">
        <v>76</v>
      </c>
      <c r="I89" s="145">
        <v>18.899999999999999</v>
      </c>
      <c r="J89" s="213">
        <v>6255</v>
      </c>
      <c r="K89" s="146">
        <f t="shared" ref="K89" si="161">SUM(IF(J89="",0,VLOOKUP(J89,Kengetal,2)))</f>
        <v>255</v>
      </c>
      <c r="L89" s="147">
        <f t="shared" ref="L89" si="162">P89*I89*U89</f>
        <v>21.243600000000001</v>
      </c>
      <c r="M89" s="147">
        <f t="shared" ref="M89" si="163">Q89*I89*V89</f>
        <v>0</v>
      </c>
      <c r="N89" s="147">
        <f t="shared" ref="N89" si="164">R89*I89*W89</f>
        <v>0</v>
      </c>
      <c r="O89" s="147">
        <f t="shared" ref="O89" si="165">S89*I89*X89</f>
        <v>0</v>
      </c>
      <c r="P89" s="148">
        <f t="shared" si="136"/>
        <v>1.1240000000000001</v>
      </c>
      <c r="Q89" s="147">
        <f t="shared" si="137"/>
        <v>0</v>
      </c>
      <c r="R89" s="147">
        <f t="shared" si="138"/>
        <v>0</v>
      </c>
      <c r="S89" s="147">
        <f t="shared" si="139"/>
        <v>0</v>
      </c>
      <c r="T89" s="200" t="str">
        <f t="shared" ref="T89" si="166">IF(J89="","",VLOOKUP(J89,Kengetal,13,FALSE))</f>
        <v>V</v>
      </c>
      <c r="U89" s="214">
        <v>1</v>
      </c>
      <c r="V89" s="214">
        <v>1</v>
      </c>
      <c r="W89" s="214">
        <v>1</v>
      </c>
      <c r="X89" s="214">
        <v>1</v>
      </c>
      <c r="Y89" s="142"/>
      <c r="Z89" s="149">
        <f t="shared" si="121"/>
        <v>4819.5</v>
      </c>
      <c r="AA89" s="150">
        <f t="shared" si="122"/>
        <v>21.243600000000001</v>
      </c>
      <c r="AB89" s="151"/>
      <c r="AE89" s="582">
        <f t="shared" si="123"/>
        <v>0</v>
      </c>
      <c r="AF89" s="582">
        <f t="shared" si="124"/>
        <v>18.899999999999999</v>
      </c>
    </row>
    <row r="90" spans="2:32" ht="18" customHeight="1">
      <c r="B90" s="220" t="s">
        <v>260</v>
      </c>
      <c r="C90" s="221" t="s">
        <v>57</v>
      </c>
      <c r="D90" s="222">
        <v>0</v>
      </c>
      <c r="E90" s="144" t="s">
        <v>386</v>
      </c>
      <c r="F90" s="63" t="s">
        <v>387</v>
      </c>
      <c r="G90" s="63" t="s">
        <v>263</v>
      </c>
      <c r="H90" s="51" t="s">
        <v>76</v>
      </c>
      <c r="I90" s="145">
        <v>1.9</v>
      </c>
      <c r="J90" s="213">
        <v>1104</v>
      </c>
      <c r="K90" s="146">
        <f t="shared" si="135"/>
        <v>104</v>
      </c>
      <c r="L90" s="147">
        <f t="shared" si="1"/>
        <v>0.5021364705882353</v>
      </c>
      <c r="M90" s="147">
        <f t="shared" si="2"/>
        <v>0</v>
      </c>
      <c r="N90" s="147">
        <f t="shared" si="3"/>
        <v>0</v>
      </c>
      <c r="O90" s="147">
        <f t="shared" si="4"/>
        <v>0</v>
      </c>
      <c r="P90" s="148">
        <f t="shared" si="136"/>
        <v>0.26428235294117647</v>
      </c>
      <c r="Q90" s="147">
        <f t="shared" si="137"/>
        <v>0</v>
      </c>
      <c r="R90" s="147">
        <f t="shared" si="138"/>
        <v>0</v>
      </c>
      <c r="S90" s="147">
        <f t="shared" si="139"/>
        <v>0</v>
      </c>
      <c r="T90" s="200" t="str">
        <f t="shared" si="140"/>
        <v>B</v>
      </c>
      <c r="U90" s="214">
        <v>1</v>
      </c>
      <c r="V90" s="214">
        <v>1</v>
      </c>
      <c r="W90" s="214">
        <v>1</v>
      </c>
      <c r="X90" s="214">
        <v>1</v>
      </c>
      <c r="Y90" s="142"/>
      <c r="Z90" s="149">
        <f t="shared" si="121"/>
        <v>197.6</v>
      </c>
      <c r="AA90" s="150">
        <f t="shared" si="122"/>
        <v>0.5021364705882353</v>
      </c>
      <c r="AB90" s="151"/>
      <c r="AE90" s="582">
        <f t="shared" si="123"/>
        <v>0</v>
      </c>
      <c r="AF90" s="582">
        <f t="shared" si="124"/>
        <v>1.9</v>
      </c>
    </row>
    <row r="91" spans="2:32" ht="18" customHeight="1">
      <c r="B91" s="220" t="s">
        <v>260</v>
      </c>
      <c r="C91" s="221" t="s">
        <v>57</v>
      </c>
      <c r="D91" s="222">
        <v>0</v>
      </c>
      <c r="E91" s="144" t="s">
        <v>388</v>
      </c>
      <c r="F91" s="63" t="s">
        <v>387</v>
      </c>
      <c r="G91" s="63" t="s">
        <v>263</v>
      </c>
      <c r="H91" s="51" t="s">
        <v>76</v>
      </c>
      <c r="I91" s="145">
        <v>1.9</v>
      </c>
      <c r="J91" s="213">
        <v>1104</v>
      </c>
      <c r="K91" s="146">
        <f t="shared" ref="K91" si="167">SUM(IF(J91="",0,VLOOKUP(J91,Kengetal,2)))</f>
        <v>104</v>
      </c>
      <c r="L91" s="147">
        <f t="shared" ref="L91" si="168">P91*I91*U91</f>
        <v>0.5021364705882353</v>
      </c>
      <c r="M91" s="147">
        <f t="shared" ref="M91" si="169">Q91*I91*V91</f>
        <v>0</v>
      </c>
      <c r="N91" s="147">
        <f t="shared" ref="N91" si="170">R91*I91*W91</f>
        <v>0</v>
      </c>
      <c r="O91" s="147">
        <f t="shared" ref="O91" si="171">S91*I91*X91</f>
        <v>0</v>
      </c>
      <c r="P91" s="148">
        <f t="shared" si="136"/>
        <v>0.26428235294117647</v>
      </c>
      <c r="Q91" s="147">
        <f t="shared" si="137"/>
        <v>0</v>
      </c>
      <c r="R91" s="147">
        <f t="shared" si="138"/>
        <v>0</v>
      </c>
      <c r="S91" s="147">
        <f t="shared" si="139"/>
        <v>0</v>
      </c>
      <c r="T91" s="200" t="str">
        <f t="shared" ref="T91" si="172">IF(J91="","",VLOOKUP(J91,Kengetal,13,FALSE))</f>
        <v>B</v>
      </c>
      <c r="U91" s="214">
        <v>1</v>
      </c>
      <c r="V91" s="214">
        <v>1</v>
      </c>
      <c r="W91" s="214">
        <v>1</v>
      </c>
      <c r="X91" s="214">
        <v>1</v>
      </c>
      <c r="Y91" s="142"/>
      <c r="Z91" s="149">
        <f t="shared" ref="Z91" si="173">I91*K91</f>
        <v>197.6</v>
      </c>
      <c r="AA91" s="150">
        <f t="shared" ref="AA91" si="174">L91+M91+N91+O91</f>
        <v>0.5021364705882353</v>
      </c>
      <c r="AB91" s="151"/>
      <c r="AE91" s="582">
        <f t="shared" ref="AE91" si="175">SUMIF(H91,"Linoleum",I91)</f>
        <v>0</v>
      </c>
      <c r="AF91" s="582">
        <f t="shared" ref="AF91" si="176">SUMIF(H91,"Tapijt",I91)</f>
        <v>1.9</v>
      </c>
    </row>
    <row r="92" spans="2:32" ht="18" customHeight="1">
      <c r="B92" s="220" t="s">
        <v>260</v>
      </c>
      <c r="C92" s="221" t="s">
        <v>57</v>
      </c>
      <c r="D92" s="222">
        <v>0</v>
      </c>
      <c r="E92" s="144" t="s">
        <v>389</v>
      </c>
      <c r="F92" s="63" t="s">
        <v>387</v>
      </c>
      <c r="G92" s="63" t="s">
        <v>263</v>
      </c>
      <c r="H92" s="51" t="s">
        <v>76</v>
      </c>
      <c r="I92" s="145">
        <v>3.5</v>
      </c>
      <c r="J92" s="213">
        <v>1104</v>
      </c>
      <c r="K92" s="146">
        <f t="shared" ref="K92" si="177">SUM(IF(J92="",0,VLOOKUP(J92,Kengetal,2)))</f>
        <v>104</v>
      </c>
      <c r="L92" s="147">
        <f t="shared" ref="L92" si="178">P92*I92*U92</f>
        <v>0.92498823529411767</v>
      </c>
      <c r="M92" s="147">
        <f t="shared" ref="M92" si="179">Q92*I92*V92</f>
        <v>0</v>
      </c>
      <c r="N92" s="147">
        <f t="shared" ref="N92" si="180">R92*I92*W92</f>
        <v>0</v>
      </c>
      <c r="O92" s="147">
        <f t="shared" ref="O92" si="181">S92*I92*X92</f>
        <v>0</v>
      </c>
      <c r="P92" s="148">
        <f t="shared" si="136"/>
        <v>0.26428235294117647</v>
      </c>
      <c r="Q92" s="147">
        <f t="shared" si="137"/>
        <v>0</v>
      </c>
      <c r="R92" s="147">
        <f t="shared" si="138"/>
        <v>0</v>
      </c>
      <c r="S92" s="147">
        <f t="shared" si="139"/>
        <v>0</v>
      </c>
      <c r="T92" s="200" t="str">
        <f t="shared" ref="T92" si="182">IF(J92="","",VLOOKUP(J92,Kengetal,13,FALSE))</f>
        <v>B</v>
      </c>
      <c r="U92" s="214">
        <v>1</v>
      </c>
      <c r="V92" s="214">
        <v>1</v>
      </c>
      <c r="W92" s="214">
        <v>1</v>
      </c>
      <c r="X92" s="214">
        <v>1</v>
      </c>
      <c r="Y92" s="142"/>
      <c r="Z92" s="149">
        <f t="shared" ref="Z92" si="183">I92*K92</f>
        <v>364</v>
      </c>
      <c r="AA92" s="150">
        <f t="shared" ref="AA92" si="184">L92+M92+N92+O92</f>
        <v>0.92498823529411767</v>
      </c>
      <c r="AB92" s="151"/>
      <c r="AE92" s="582">
        <f t="shared" ref="AE92" si="185">SUMIF(H92,"Linoleum",I92)</f>
        <v>0</v>
      </c>
      <c r="AF92" s="582">
        <f t="shared" ref="AF92" si="186">SUMIF(H92,"Tapijt",I92)</f>
        <v>3.5</v>
      </c>
    </row>
    <row r="93" spans="2:32" ht="18" customHeight="1">
      <c r="B93" s="220" t="s">
        <v>260</v>
      </c>
      <c r="C93" s="221" t="s">
        <v>57</v>
      </c>
      <c r="D93" s="222">
        <v>0</v>
      </c>
      <c r="E93" s="144" t="s">
        <v>390</v>
      </c>
      <c r="F93" s="63" t="s">
        <v>262</v>
      </c>
      <c r="G93" s="63" t="s">
        <v>263</v>
      </c>
      <c r="H93" s="51" t="s">
        <v>76</v>
      </c>
      <c r="I93" s="145">
        <v>5.7</v>
      </c>
      <c r="J93" s="213">
        <v>1104</v>
      </c>
      <c r="K93" s="146">
        <f t="shared" ref="K93" si="187">SUM(IF(J93="",0,VLOOKUP(J93,Kengetal,2)))</f>
        <v>104</v>
      </c>
      <c r="L93" s="147">
        <f t="shared" ref="L93" si="188">P93*I93*U93</f>
        <v>1.506409411764706</v>
      </c>
      <c r="M93" s="147">
        <f t="shared" ref="M93" si="189">Q93*I93*V93</f>
        <v>0</v>
      </c>
      <c r="N93" s="147">
        <f t="shared" ref="N93" si="190">R93*I93*W93</f>
        <v>0</v>
      </c>
      <c r="O93" s="147">
        <f t="shared" ref="O93" si="191">S93*I93*X93</f>
        <v>0</v>
      </c>
      <c r="P93" s="148">
        <f t="shared" si="136"/>
        <v>0.26428235294117647</v>
      </c>
      <c r="Q93" s="147">
        <f t="shared" si="137"/>
        <v>0</v>
      </c>
      <c r="R93" s="147">
        <f t="shared" si="138"/>
        <v>0</v>
      </c>
      <c r="S93" s="147">
        <f t="shared" si="139"/>
        <v>0</v>
      </c>
      <c r="T93" s="200" t="str">
        <f t="shared" ref="T93" si="192">IF(J93="","",VLOOKUP(J93,Kengetal,13,FALSE))</f>
        <v>B</v>
      </c>
      <c r="U93" s="214">
        <v>1</v>
      </c>
      <c r="V93" s="214">
        <v>1</v>
      </c>
      <c r="W93" s="214">
        <v>1</v>
      </c>
      <c r="X93" s="214">
        <v>1</v>
      </c>
      <c r="Y93" s="142"/>
      <c r="Z93" s="149">
        <f t="shared" ref="Z93" si="193">I93*K93</f>
        <v>592.80000000000007</v>
      </c>
      <c r="AA93" s="150">
        <f t="shared" ref="AA93" si="194">L93+M93+N93+O93</f>
        <v>1.506409411764706</v>
      </c>
      <c r="AB93" s="151"/>
      <c r="AE93" s="582">
        <f t="shared" ref="AE93" si="195">SUMIF(H93,"Linoleum",I93)</f>
        <v>0</v>
      </c>
      <c r="AF93" s="582">
        <f t="shared" ref="AF93" si="196">SUMIF(H93,"Tapijt",I93)</f>
        <v>5.7</v>
      </c>
    </row>
    <row r="94" spans="2:32" ht="18" customHeight="1">
      <c r="B94" s="220" t="s">
        <v>260</v>
      </c>
      <c r="C94" s="221" t="s">
        <v>57</v>
      </c>
      <c r="D94" s="222">
        <v>0</v>
      </c>
      <c r="E94" s="144" t="s">
        <v>391</v>
      </c>
      <c r="F94" s="63" t="s">
        <v>274</v>
      </c>
      <c r="G94" s="63" t="s">
        <v>263</v>
      </c>
      <c r="H94" s="51" t="s">
        <v>76</v>
      </c>
      <c r="I94" s="145">
        <v>72.5</v>
      </c>
      <c r="J94" s="213">
        <v>15255</v>
      </c>
      <c r="K94" s="146">
        <f t="shared" si="135"/>
        <v>255</v>
      </c>
      <c r="L94" s="147">
        <f t="shared" si="1"/>
        <v>40.237500000000004</v>
      </c>
      <c r="M94" s="147">
        <f t="shared" si="2"/>
        <v>0</v>
      </c>
      <c r="N94" s="147">
        <f t="shared" si="3"/>
        <v>0</v>
      </c>
      <c r="O94" s="147">
        <f t="shared" si="4"/>
        <v>0</v>
      </c>
      <c r="P94" s="148">
        <f t="shared" si="136"/>
        <v>0.55500000000000005</v>
      </c>
      <c r="Q94" s="147">
        <f t="shared" si="137"/>
        <v>0</v>
      </c>
      <c r="R94" s="147">
        <f t="shared" si="138"/>
        <v>0</v>
      </c>
      <c r="S94" s="147">
        <f t="shared" si="139"/>
        <v>0</v>
      </c>
      <c r="T94" s="200" t="str">
        <f t="shared" si="140"/>
        <v>B</v>
      </c>
      <c r="U94" s="214">
        <v>1</v>
      </c>
      <c r="V94" s="214">
        <v>1</v>
      </c>
      <c r="W94" s="214">
        <v>1</v>
      </c>
      <c r="X94" s="214">
        <v>1</v>
      </c>
      <c r="Y94" s="142"/>
      <c r="Z94" s="149">
        <f t="shared" si="121"/>
        <v>18487.5</v>
      </c>
      <c r="AA94" s="150">
        <f t="shared" si="122"/>
        <v>40.237500000000004</v>
      </c>
      <c r="AB94" s="151"/>
      <c r="AE94" s="582">
        <f t="shared" si="123"/>
        <v>0</v>
      </c>
      <c r="AF94" s="582">
        <f t="shared" si="124"/>
        <v>72.5</v>
      </c>
    </row>
    <row r="95" spans="2:32" ht="18" customHeight="1">
      <c r="B95" s="220" t="s">
        <v>260</v>
      </c>
      <c r="C95" s="221" t="s">
        <v>57</v>
      </c>
      <c r="D95" s="222">
        <v>0</v>
      </c>
      <c r="E95" s="144" t="s">
        <v>392</v>
      </c>
      <c r="F95" s="63" t="s">
        <v>262</v>
      </c>
      <c r="G95" s="63" t="s">
        <v>263</v>
      </c>
      <c r="H95" s="51" t="s">
        <v>76</v>
      </c>
      <c r="I95" s="145">
        <v>14</v>
      </c>
      <c r="J95" s="213">
        <v>1104</v>
      </c>
      <c r="K95" s="146">
        <f t="shared" ref="K95" si="197">SUM(IF(J95="",0,VLOOKUP(J95,Kengetal,2)))</f>
        <v>104</v>
      </c>
      <c r="L95" s="147">
        <f t="shared" ref="L95" si="198">P95*I95*U95</f>
        <v>3.6999529411764707</v>
      </c>
      <c r="M95" s="147">
        <f t="shared" ref="M95" si="199">Q95*I95*V95</f>
        <v>0</v>
      </c>
      <c r="N95" s="147">
        <f t="shared" ref="N95" si="200">R95*I95*W95</f>
        <v>0</v>
      </c>
      <c r="O95" s="147">
        <f t="shared" ref="O95" si="201">S95*I95*X95</f>
        <v>0</v>
      </c>
      <c r="P95" s="148">
        <f t="shared" si="136"/>
        <v>0.26428235294117647</v>
      </c>
      <c r="Q95" s="147">
        <f t="shared" si="137"/>
        <v>0</v>
      </c>
      <c r="R95" s="147">
        <f t="shared" si="138"/>
        <v>0</v>
      </c>
      <c r="S95" s="147">
        <f t="shared" si="139"/>
        <v>0</v>
      </c>
      <c r="T95" s="200" t="str">
        <f t="shared" ref="T95" si="202">IF(J95="","",VLOOKUP(J95,Kengetal,13,FALSE))</f>
        <v>B</v>
      </c>
      <c r="U95" s="214">
        <v>1</v>
      </c>
      <c r="V95" s="214">
        <v>1</v>
      </c>
      <c r="W95" s="214">
        <v>1</v>
      </c>
      <c r="X95" s="214">
        <v>1</v>
      </c>
      <c r="Y95" s="142"/>
      <c r="Z95" s="149">
        <f t="shared" ref="Z95" si="203">I95*K95</f>
        <v>1456</v>
      </c>
      <c r="AA95" s="150">
        <f t="shared" ref="AA95" si="204">L95+M95+N95+O95</f>
        <v>3.6999529411764707</v>
      </c>
      <c r="AB95" s="151"/>
      <c r="AE95" s="582">
        <f t="shared" ref="AE95" si="205">SUMIF(H95,"Linoleum",I95)</f>
        <v>0</v>
      </c>
      <c r="AF95" s="582">
        <f t="shared" ref="AF95" si="206">SUMIF(H95,"Tapijt",I95)</f>
        <v>14</v>
      </c>
    </row>
    <row r="96" spans="2:32" ht="18" customHeight="1">
      <c r="B96" s="220" t="s">
        <v>260</v>
      </c>
      <c r="C96" s="221" t="s">
        <v>57</v>
      </c>
      <c r="D96" s="222">
        <v>0</v>
      </c>
      <c r="E96" s="144" t="s">
        <v>393</v>
      </c>
      <c r="F96" s="63" t="s">
        <v>262</v>
      </c>
      <c r="G96" s="63" t="s">
        <v>263</v>
      </c>
      <c r="H96" s="51" t="s">
        <v>76</v>
      </c>
      <c r="I96" s="145">
        <v>8.1999999999999993</v>
      </c>
      <c r="J96" s="213">
        <v>1104</v>
      </c>
      <c r="K96" s="146">
        <f t="shared" ref="K96" si="207">SUM(IF(J96="",0,VLOOKUP(J96,Kengetal,2)))</f>
        <v>104</v>
      </c>
      <c r="L96" s="147">
        <f t="shared" ref="L96" si="208">P96*I96*U96</f>
        <v>2.167115294117647</v>
      </c>
      <c r="M96" s="147">
        <f t="shared" ref="M96" si="209">Q96*I96*V96</f>
        <v>0</v>
      </c>
      <c r="N96" s="147">
        <f t="shared" ref="N96" si="210">R96*I96*W96</f>
        <v>0</v>
      </c>
      <c r="O96" s="147">
        <f t="shared" ref="O96" si="211">S96*I96*X96</f>
        <v>0</v>
      </c>
      <c r="P96" s="148">
        <f t="shared" si="136"/>
        <v>0.26428235294117647</v>
      </c>
      <c r="Q96" s="147">
        <f t="shared" si="137"/>
        <v>0</v>
      </c>
      <c r="R96" s="147">
        <f t="shared" si="138"/>
        <v>0</v>
      </c>
      <c r="S96" s="147">
        <f t="shared" si="139"/>
        <v>0</v>
      </c>
      <c r="T96" s="200" t="str">
        <f t="shared" ref="T96" si="212">IF(J96="","",VLOOKUP(J96,Kengetal,13,FALSE))</f>
        <v>B</v>
      </c>
      <c r="U96" s="214">
        <v>1</v>
      </c>
      <c r="V96" s="214">
        <v>1</v>
      </c>
      <c r="W96" s="214">
        <v>1</v>
      </c>
      <c r="X96" s="214">
        <v>1</v>
      </c>
      <c r="Y96" s="142"/>
      <c r="Z96" s="149">
        <f t="shared" ref="Z96" si="213">I96*K96</f>
        <v>852.8</v>
      </c>
      <c r="AA96" s="150">
        <f t="shared" ref="AA96" si="214">L96+M96+N96+O96</f>
        <v>2.167115294117647</v>
      </c>
      <c r="AB96" s="151"/>
      <c r="AE96" s="582">
        <f t="shared" ref="AE96" si="215">SUMIF(H96,"Linoleum",I96)</f>
        <v>0</v>
      </c>
      <c r="AF96" s="582">
        <f t="shared" ref="AF96" si="216">SUMIF(H96,"Tapijt",I96)</f>
        <v>8.1999999999999993</v>
      </c>
    </row>
    <row r="97" spans="1:32" ht="18" customHeight="1">
      <c r="B97" s="220" t="s">
        <v>260</v>
      </c>
      <c r="C97" s="221" t="s">
        <v>57</v>
      </c>
      <c r="D97" s="222">
        <v>0</v>
      </c>
      <c r="E97" s="144" t="s">
        <v>394</v>
      </c>
      <c r="F97" s="63" t="s">
        <v>262</v>
      </c>
      <c r="G97" s="63" t="s">
        <v>263</v>
      </c>
      <c r="H97" s="51" t="s">
        <v>76</v>
      </c>
      <c r="I97" s="145">
        <v>8.3000000000000007</v>
      </c>
      <c r="J97" s="213">
        <v>1104</v>
      </c>
      <c r="K97" s="146">
        <f t="shared" si="135"/>
        <v>104</v>
      </c>
      <c r="L97" s="147">
        <f t="shared" si="1"/>
        <v>2.1935435294117647</v>
      </c>
      <c r="M97" s="147">
        <f t="shared" si="2"/>
        <v>0</v>
      </c>
      <c r="N97" s="147">
        <f t="shared" si="3"/>
        <v>0</v>
      </c>
      <c r="O97" s="147">
        <f t="shared" si="4"/>
        <v>0</v>
      </c>
      <c r="P97" s="148">
        <f t="shared" si="136"/>
        <v>0.26428235294117647</v>
      </c>
      <c r="Q97" s="147">
        <f t="shared" si="137"/>
        <v>0</v>
      </c>
      <c r="R97" s="147">
        <f t="shared" si="138"/>
        <v>0</v>
      </c>
      <c r="S97" s="147">
        <f t="shared" si="139"/>
        <v>0</v>
      </c>
      <c r="T97" s="200" t="str">
        <f t="shared" si="140"/>
        <v>B</v>
      </c>
      <c r="U97" s="214">
        <v>1</v>
      </c>
      <c r="V97" s="214">
        <v>1</v>
      </c>
      <c r="W97" s="214">
        <v>1</v>
      </c>
      <c r="X97" s="214">
        <v>1</v>
      </c>
      <c r="Y97" s="142"/>
      <c r="Z97" s="149">
        <f t="shared" si="121"/>
        <v>863.2</v>
      </c>
      <c r="AA97" s="150">
        <f t="shared" si="122"/>
        <v>2.1935435294117647</v>
      </c>
      <c r="AB97" s="151"/>
      <c r="AE97" s="582">
        <f t="shared" si="123"/>
        <v>0</v>
      </c>
      <c r="AF97" s="582">
        <f t="shared" si="124"/>
        <v>8.3000000000000007</v>
      </c>
    </row>
    <row r="98" spans="1:32" ht="18" customHeight="1">
      <c r="B98" s="220" t="s">
        <v>260</v>
      </c>
      <c r="C98" s="221" t="s">
        <v>57</v>
      </c>
      <c r="D98" s="222">
        <v>0</v>
      </c>
      <c r="E98" s="144" t="s">
        <v>395</v>
      </c>
      <c r="F98" s="63" t="s">
        <v>262</v>
      </c>
      <c r="G98" s="63" t="s">
        <v>263</v>
      </c>
      <c r="H98" s="51" t="s">
        <v>76</v>
      </c>
      <c r="I98" s="145">
        <v>9.5</v>
      </c>
      <c r="J98" s="213">
        <v>1104</v>
      </c>
      <c r="K98" s="146">
        <f t="shared" si="135"/>
        <v>104</v>
      </c>
      <c r="L98" s="147">
        <f t="shared" si="1"/>
        <v>2.5106823529411764</v>
      </c>
      <c r="M98" s="147">
        <f t="shared" si="2"/>
        <v>0</v>
      </c>
      <c r="N98" s="147">
        <f t="shared" si="3"/>
        <v>0</v>
      </c>
      <c r="O98" s="147">
        <f t="shared" si="4"/>
        <v>0</v>
      </c>
      <c r="P98" s="148">
        <f t="shared" si="136"/>
        <v>0.26428235294117647</v>
      </c>
      <c r="Q98" s="147">
        <f t="shared" si="137"/>
        <v>0</v>
      </c>
      <c r="R98" s="147">
        <f t="shared" si="138"/>
        <v>0</v>
      </c>
      <c r="S98" s="147">
        <f t="shared" si="139"/>
        <v>0</v>
      </c>
      <c r="T98" s="200" t="str">
        <f t="shared" si="140"/>
        <v>B</v>
      </c>
      <c r="U98" s="214">
        <v>1</v>
      </c>
      <c r="V98" s="214">
        <v>1</v>
      </c>
      <c r="W98" s="214">
        <v>1</v>
      </c>
      <c r="X98" s="214">
        <v>1</v>
      </c>
      <c r="Y98" s="142"/>
      <c r="Z98" s="149">
        <f t="shared" si="121"/>
        <v>988</v>
      </c>
      <c r="AA98" s="150">
        <f t="shared" si="122"/>
        <v>2.5106823529411764</v>
      </c>
      <c r="AB98" s="151"/>
      <c r="AE98" s="582">
        <f t="shared" si="123"/>
        <v>0</v>
      </c>
      <c r="AF98" s="582">
        <f t="shared" si="124"/>
        <v>9.5</v>
      </c>
    </row>
    <row r="99" spans="1:32" ht="18" customHeight="1">
      <c r="B99" s="220" t="s">
        <v>260</v>
      </c>
      <c r="C99" s="221" t="s">
        <v>57</v>
      </c>
      <c r="D99" s="222">
        <v>0</v>
      </c>
      <c r="E99" s="144" t="s">
        <v>396</v>
      </c>
      <c r="F99" s="63" t="s">
        <v>262</v>
      </c>
      <c r="G99" s="63" t="s">
        <v>263</v>
      </c>
      <c r="H99" s="51" t="s">
        <v>76</v>
      </c>
      <c r="I99" s="145">
        <v>8.4</v>
      </c>
      <c r="J99" s="213">
        <v>1104</v>
      </c>
      <c r="K99" s="146">
        <f t="shared" si="135"/>
        <v>104</v>
      </c>
      <c r="L99" s="147">
        <f t="shared" si="1"/>
        <v>2.2199717647058823</v>
      </c>
      <c r="M99" s="147">
        <f t="shared" si="2"/>
        <v>0</v>
      </c>
      <c r="N99" s="147">
        <f t="shared" si="3"/>
        <v>0</v>
      </c>
      <c r="O99" s="147">
        <f t="shared" si="4"/>
        <v>0</v>
      </c>
      <c r="P99" s="148">
        <f t="shared" si="136"/>
        <v>0.26428235294117647</v>
      </c>
      <c r="Q99" s="147">
        <f t="shared" si="137"/>
        <v>0</v>
      </c>
      <c r="R99" s="147">
        <f t="shared" si="138"/>
        <v>0</v>
      </c>
      <c r="S99" s="147">
        <f t="shared" si="139"/>
        <v>0</v>
      </c>
      <c r="T99" s="200" t="str">
        <f t="shared" si="140"/>
        <v>B</v>
      </c>
      <c r="U99" s="214">
        <v>1</v>
      </c>
      <c r="V99" s="214">
        <v>1</v>
      </c>
      <c r="W99" s="214">
        <v>1</v>
      </c>
      <c r="X99" s="214">
        <v>1</v>
      </c>
      <c r="Y99" s="142"/>
      <c r="Z99" s="149">
        <f t="shared" si="121"/>
        <v>873.6</v>
      </c>
      <c r="AA99" s="150">
        <f t="shared" si="122"/>
        <v>2.2199717647058823</v>
      </c>
      <c r="AB99" s="151"/>
      <c r="AE99" s="582">
        <f t="shared" si="123"/>
        <v>0</v>
      </c>
      <c r="AF99" s="582">
        <f t="shared" si="124"/>
        <v>8.4</v>
      </c>
    </row>
    <row r="100" spans="1:32" ht="18" customHeight="1">
      <c r="B100" s="220" t="s">
        <v>260</v>
      </c>
      <c r="C100" s="221" t="s">
        <v>57</v>
      </c>
      <c r="D100" s="222">
        <v>0</v>
      </c>
      <c r="E100" s="144" t="s">
        <v>397</v>
      </c>
      <c r="F100" s="63" t="s">
        <v>262</v>
      </c>
      <c r="G100" s="63" t="s">
        <v>263</v>
      </c>
      <c r="H100" s="51" t="s">
        <v>76</v>
      </c>
      <c r="I100" s="145">
        <v>9.9</v>
      </c>
      <c r="J100" s="213">
        <v>1104</v>
      </c>
      <c r="K100" s="146">
        <f t="shared" ref="K100" si="217">SUM(IF(J100="",0,VLOOKUP(J100,Kengetal,2)))</f>
        <v>104</v>
      </c>
      <c r="L100" s="147">
        <f t="shared" ref="L100" si="218">P100*I100*U100</f>
        <v>2.6163952941176469</v>
      </c>
      <c r="M100" s="147">
        <f t="shared" ref="M100" si="219">Q100*I100*V100</f>
        <v>0</v>
      </c>
      <c r="N100" s="147">
        <f t="shared" ref="N100" si="220">R100*I100*W100</f>
        <v>0</v>
      </c>
      <c r="O100" s="147">
        <f t="shared" ref="O100" si="221">S100*I100*X100</f>
        <v>0</v>
      </c>
      <c r="P100" s="148">
        <f t="shared" si="136"/>
        <v>0.26428235294117647</v>
      </c>
      <c r="Q100" s="147">
        <f t="shared" si="137"/>
        <v>0</v>
      </c>
      <c r="R100" s="147">
        <f t="shared" si="138"/>
        <v>0</v>
      </c>
      <c r="S100" s="147">
        <f t="shared" si="139"/>
        <v>0</v>
      </c>
      <c r="T100" s="200" t="str">
        <f t="shared" ref="T100" si="222">IF(J100="","",VLOOKUP(J100,Kengetal,13,FALSE))</f>
        <v>B</v>
      </c>
      <c r="U100" s="214">
        <v>1</v>
      </c>
      <c r="V100" s="214">
        <v>1</v>
      </c>
      <c r="W100" s="214">
        <v>1</v>
      </c>
      <c r="X100" s="214">
        <v>1</v>
      </c>
      <c r="Y100" s="142"/>
      <c r="Z100" s="149">
        <f t="shared" ref="Z100" si="223">I100*K100</f>
        <v>1029.6000000000001</v>
      </c>
      <c r="AA100" s="150">
        <f t="shared" ref="AA100" si="224">L100+M100+N100+O100</f>
        <v>2.6163952941176469</v>
      </c>
      <c r="AB100" s="151"/>
      <c r="AE100" s="582">
        <f t="shared" ref="AE100" si="225">SUMIF(H100,"Linoleum",I100)</f>
        <v>0</v>
      </c>
      <c r="AF100" s="582">
        <f t="shared" ref="AF100" si="226">SUMIF(H100,"Tapijt",I100)</f>
        <v>9.9</v>
      </c>
    </row>
    <row r="101" spans="1:32" ht="18" customHeight="1">
      <c r="B101" s="220" t="s">
        <v>260</v>
      </c>
      <c r="C101" s="221" t="s">
        <v>57</v>
      </c>
      <c r="D101" s="222">
        <v>0</v>
      </c>
      <c r="E101" s="144" t="s">
        <v>398</v>
      </c>
      <c r="F101" s="63" t="s">
        <v>262</v>
      </c>
      <c r="G101" s="63" t="s">
        <v>263</v>
      </c>
      <c r="H101" s="51" t="s">
        <v>76</v>
      </c>
      <c r="I101" s="145">
        <v>11.8</v>
      </c>
      <c r="J101" s="213">
        <v>1104</v>
      </c>
      <c r="K101" s="146">
        <f t="shared" ref="K101" si="227">SUM(IF(J101="",0,VLOOKUP(J101,Kengetal,2)))</f>
        <v>104</v>
      </c>
      <c r="L101" s="147">
        <f t="shared" ref="L101" si="228">P101*I101*U101</f>
        <v>3.1185317647058826</v>
      </c>
      <c r="M101" s="147">
        <f t="shared" ref="M101" si="229">Q101*I101*V101</f>
        <v>0</v>
      </c>
      <c r="N101" s="147">
        <f t="shared" ref="N101" si="230">R101*I101*W101</f>
        <v>0</v>
      </c>
      <c r="O101" s="147">
        <f t="shared" ref="O101" si="231">S101*I101*X101</f>
        <v>0</v>
      </c>
      <c r="P101" s="148">
        <f t="shared" si="136"/>
        <v>0.26428235294117647</v>
      </c>
      <c r="Q101" s="147">
        <f t="shared" si="137"/>
        <v>0</v>
      </c>
      <c r="R101" s="147">
        <f t="shared" si="138"/>
        <v>0</v>
      </c>
      <c r="S101" s="147">
        <f t="shared" si="139"/>
        <v>0</v>
      </c>
      <c r="T101" s="200" t="str">
        <f t="shared" ref="T101" si="232">IF(J101="","",VLOOKUP(J101,Kengetal,13,FALSE))</f>
        <v>B</v>
      </c>
      <c r="U101" s="214">
        <v>1</v>
      </c>
      <c r="V101" s="214">
        <v>1</v>
      </c>
      <c r="W101" s="214">
        <v>1</v>
      </c>
      <c r="X101" s="214">
        <v>1</v>
      </c>
      <c r="Y101" s="142"/>
      <c r="Z101" s="149">
        <f t="shared" ref="Z101" si="233">I101*K101</f>
        <v>1227.2</v>
      </c>
      <c r="AA101" s="150">
        <f t="shared" ref="AA101" si="234">L101+M101+N101+O101</f>
        <v>3.1185317647058826</v>
      </c>
      <c r="AB101" s="151"/>
      <c r="AE101" s="582">
        <f t="shared" ref="AE101" si="235">SUMIF(H101,"Linoleum",I101)</f>
        <v>0</v>
      </c>
      <c r="AF101" s="582">
        <f t="shared" ref="AF101" si="236">SUMIF(H101,"Tapijt",I101)</f>
        <v>11.8</v>
      </c>
    </row>
    <row r="102" spans="1:32" ht="18" customHeight="1">
      <c r="B102" s="220" t="s">
        <v>260</v>
      </c>
      <c r="C102" s="221" t="s">
        <v>57</v>
      </c>
      <c r="D102" s="222">
        <v>0</v>
      </c>
      <c r="E102" s="144" t="s">
        <v>399</v>
      </c>
      <c r="F102" s="63" t="s">
        <v>400</v>
      </c>
      <c r="G102" s="63" t="s">
        <v>271</v>
      </c>
      <c r="H102" s="51" t="s">
        <v>401</v>
      </c>
      <c r="I102" s="145">
        <v>1.6</v>
      </c>
      <c r="J102" s="213">
        <v>4255</v>
      </c>
      <c r="K102" s="146">
        <f t="shared" si="135"/>
        <v>255</v>
      </c>
      <c r="L102" s="147">
        <f t="shared" si="1"/>
        <v>2.04</v>
      </c>
      <c r="M102" s="147">
        <f t="shared" si="2"/>
        <v>0</v>
      </c>
      <c r="N102" s="147">
        <f t="shared" si="3"/>
        <v>0</v>
      </c>
      <c r="O102" s="147">
        <f t="shared" si="4"/>
        <v>0</v>
      </c>
      <c r="P102" s="148">
        <f t="shared" si="136"/>
        <v>1.2749999999999999</v>
      </c>
      <c r="Q102" s="147">
        <f t="shared" si="137"/>
        <v>0</v>
      </c>
      <c r="R102" s="147">
        <f t="shared" si="138"/>
        <v>0</v>
      </c>
      <c r="S102" s="147">
        <f t="shared" si="139"/>
        <v>0</v>
      </c>
      <c r="T102" s="200" t="str">
        <f t="shared" si="140"/>
        <v>V</v>
      </c>
      <c r="U102" s="214">
        <v>1</v>
      </c>
      <c r="V102" s="214">
        <v>1</v>
      </c>
      <c r="W102" s="214">
        <v>1</v>
      </c>
      <c r="X102" s="214">
        <v>1</v>
      </c>
      <c r="Y102" s="142"/>
      <c r="Z102" s="149">
        <f t="shared" si="121"/>
        <v>408</v>
      </c>
      <c r="AA102" s="150">
        <f t="shared" si="122"/>
        <v>2.04</v>
      </c>
      <c r="AB102" s="151"/>
      <c r="AE102" s="582">
        <f t="shared" si="123"/>
        <v>0</v>
      </c>
      <c r="AF102" s="582">
        <f t="shared" si="124"/>
        <v>0</v>
      </c>
    </row>
    <row r="103" spans="1:32" ht="18" customHeight="1">
      <c r="B103" s="220" t="s">
        <v>260</v>
      </c>
      <c r="C103" s="221" t="s">
        <v>57</v>
      </c>
      <c r="D103" s="222">
        <v>0</v>
      </c>
      <c r="E103" s="144" t="s">
        <v>402</v>
      </c>
      <c r="F103" s="63" t="s">
        <v>400</v>
      </c>
      <c r="G103" s="63" t="s">
        <v>271</v>
      </c>
      <c r="H103" s="51" t="s">
        <v>401</v>
      </c>
      <c r="I103" s="145">
        <v>1.6</v>
      </c>
      <c r="J103" s="213">
        <v>4255</v>
      </c>
      <c r="K103" s="146">
        <f t="shared" ref="K103:K113" si="237">SUM(IF(J103="",0,VLOOKUP(J103,Kengetal,2)))</f>
        <v>255</v>
      </c>
      <c r="L103" s="147">
        <f t="shared" ref="L103:L113" si="238">P103*I103*U103</f>
        <v>2.04</v>
      </c>
      <c r="M103" s="147">
        <f t="shared" ref="M103:M113" si="239">Q103*I103*V103</f>
        <v>0</v>
      </c>
      <c r="N103" s="147">
        <f t="shared" ref="N103:N113" si="240">R103*I103*W103</f>
        <v>0</v>
      </c>
      <c r="O103" s="147">
        <f t="shared" ref="O103:O113" si="241">S103*I103*X103</f>
        <v>0</v>
      </c>
      <c r="P103" s="148">
        <f t="shared" si="136"/>
        <v>1.2749999999999999</v>
      </c>
      <c r="Q103" s="147">
        <f t="shared" si="137"/>
        <v>0</v>
      </c>
      <c r="R103" s="147">
        <f t="shared" si="138"/>
        <v>0</v>
      </c>
      <c r="S103" s="147">
        <f t="shared" si="139"/>
        <v>0</v>
      </c>
      <c r="T103" s="200" t="str">
        <f t="shared" ref="T103:T113" si="242">IF(J103="","",VLOOKUP(J103,Kengetal,13,FALSE))</f>
        <v>V</v>
      </c>
      <c r="U103" s="214">
        <v>1</v>
      </c>
      <c r="V103" s="214">
        <v>1</v>
      </c>
      <c r="W103" s="214">
        <v>1</v>
      </c>
      <c r="X103" s="214">
        <v>1</v>
      </c>
      <c r="Y103" s="142"/>
      <c r="Z103" s="149">
        <f t="shared" ref="Z103:Z113" si="243">I103*K103</f>
        <v>408</v>
      </c>
      <c r="AA103" s="150">
        <f t="shared" ref="AA103:AA113" si="244">L103+M103+N103+O103</f>
        <v>2.04</v>
      </c>
      <c r="AB103" s="151"/>
      <c r="AE103" s="582">
        <f t="shared" ref="AE103:AE113" si="245">SUMIF(H103,"Linoleum",I103)</f>
        <v>0</v>
      </c>
      <c r="AF103" s="582">
        <f t="shared" ref="AF103:AF113" si="246">SUMIF(H103,"Tapijt",I103)</f>
        <v>0</v>
      </c>
    </row>
    <row r="104" spans="1:32" ht="18" customHeight="1">
      <c r="A104" s="120">
        <v>13</v>
      </c>
      <c r="B104" s="220" t="s">
        <v>260</v>
      </c>
      <c r="C104" s="221" t="s">
        <v>57</v>
      </c>
      <c r="D104" s="222">
        <v>0</v>
      </c>
      <c r="E104" s="223">
        <v>100</v>
      </c>
      <c r="F104" s="63" t="s">
        <v>144</v>
      </c>
      <c r="G104" s="63" t="s">
        <v>271</v>
      </c>
      <c r="H104" s="51" t="s">
        <v>315</v>
      </c>
      <c r="I104" s="145">
        <v>16.600000000000001</v>
      </c>
      <c r="J104" s="213">
        <v>8510</v>
      </c>
      <c r="K104" s="146">
        <f t="shared" si="237"/>
        <v>510</v>
      </c>
      <c r="L104" s="147">
        <f t="shared" si="238"/>
        <v>33.200000000000003</v>
      </c>
      <c r="M104" s="147">
        <f t="shared" si="239"/>
        <v>16.600000000000001</v>
      </c>
      <c r="N104" s="147">
        <f t="shared" si="240"/>
        <v>0</v>
      </c>
      <c r="O104" s="147">
        <f t="shared" si="241"/>
        <v>0</v>
      </c>
      <c r="P104" s="148">
        <f t="shared" si="136"/>
        <v>2</v>
      </c>
      <c r="Q104" s="147">
        <f t="shared" si="137"/>
        <v>1</v>
      </c>
      <c r="R104" s="147">
        <f t="shared" si="138"/>
        <v>0</v>
      </c>
      <c r="S104" s="147">
        <f t="shared" si="139"/>
        <v>0</v>
      </c>
      <c r="T104" s="200" t="str">
        <f t="shared" si="242"/>
        <v>V</v>
      </c>
      <c r="U104" s="214">
        <v>1</v>
      </c>
      <c r="V104" s="214">
        <v>1</v>
      </c>
      <c r="W104" s="214">
        <v>1</v>
      </c>
      <c r="X104" s="214">
        <v>1</v>
      </c>
      <c r="Y104" s="142"/>
      <c r="Z104" s="149">
        <f t="shared" si="243"/>
        <v>8466</v>
      </c>
      <c r="AA104" s="150">
        <f t="shared" si="244"/>
        <v>49.800000000000004</v>
      </c>
      <c r="AB104" s="151"/>
      <c r="AE104" s="582">
        <f t="shared" si="245"/>
        <v>0</v>
      </c>
      <c r="AF104" s="582">
        <f t="shared" si="246"/>
        <v>0</v>
      </c>
    </row>
    <row r="105" spans="1:32" ht="18" customHeight="1">
      <c r="A105" s="120">
        <v>14</v>
      </c>
      <c r="B105" s="220" t="s">
        <v>260</v>
      </c>
      <c r="C105" s="221" t="s">
        <v>57</v>
      </c>
      <c r="D105" s="222">
        <v>0</v>
      </c>
      <c r="E105" s="223">
        <v>101</v>
      </c>
      <c r="F105" s="63" t="s">
        <v>403</v>
      </c>
      <c r="G105" s="63" t="s">
        <v>263</v>
      </c>
      <c r="H105" s="51" t="s">
        <v>76</v>
      </c>
      <c r="I105" s="145">
        <v>9</v>
      </c>
      <c r="J105" s="213">
        <v>1510</v>
      </c>
      <c r="K105" s="146">
        <f t="shared" si="237"/>
        <v>510</v>
      </c>
      <c r="L105" s="147">
        <f t="shared" si="238"/>
        <v>4.8600000000000003</v>
      </c>
      <c r="M105" s="147">
        <f t="shared" si="239"/>
        <v>2.4300000000000002</v>
      </c>
      <c r="N105" s="147">
        <f t="shared" si="240"/>
        <v>0</v>
      </c>
      <c r="O105" s="147">
        <f t="shared" si="241"/>
        <v>0</v>
      </c>
      <c r="P105" s="148">
        <f t="shared" si="136"/>
        <v>0.54</v>
      </c>
      <c r="Q105" s="147">
        <f t="shared" si="137"/>
        <v>0.27</v>
      </c>
      <c r="R105" s="147">
        <f t="shared" si="138"/>
        <v>0</v>
      </c>
      <c r="S105" s="147">
        <f t="shared" si="139"/>
        <v>0</v>
      </c>
      <c r="T105" s="200" t="str">
        <f t="shared" si="242"/>
        <v>B</v>
      </c>
      <c r="U105" s="214">
        <v>1</v>
      </c>
      <c r="V105" s="214">
        <v>1</v>
      </c>
      <c r="W105" s="214">
        <v>1</v>
      </c>
      <c r="X105" s="214">
        <v>1</v>
      </c>
      <c r="Y105" s="142"/>
      <c r="Z105" s="149">
        <f t="shared" si="243"/>
        <v>4590</v>
      </c>
      <c r="AA105" s="150">
        <f t="shared" si="244"/>
        <v>7.2900000000000009</v>
      </c>
      <c r="AB105" s="151"/>
      <c r="AE105" s="582">
        <f t="shared" si="245"/>
        <v>0</v>
      </c>
      <c r="AF105" s="582">
        <f t="shared" si="246"/>
        <v>9</v>
      </c>
    </row>
    <row r="106" spans="1:32" ht="18" customHeight="1">
      <c r="A106" s="120">
        <v>15</v>
      </c>
      <c r="B106" s="220" t="s">
        <v>260</v>
      </c>
      <c r="C106" s="221" t="s">
        <v>57</v>
      </c>
      <c r="D106" s="222">
        <v>0</v>
      </c>
      <c r="E106" s="223">
        <v>102</v>
      </c>
      <c r="F106" s="63" t="s">
        <v>339</v>
      </c>
      <c r="G106" s="63" t="s">
        <v>271</v>
      </c>
      <c r="H106" s="51" t="s">
        <v>378</v>
      </c>
      <c r="I106" s="145">
        <v>167</v>
      </c>
      <c r="J106" s="213">
        <v>3510</v>
      </c>
      <c r="K106" s="146">
        <f t="shared" si="237"/>
        <v>510</v>
      </c>
      <c r="L106" s="147">
        <f t="shared" si="238"/>
        <v>62.457999999999998</v>
      </c>
      <c r="M106" s="147">
        <f t="shared" si="239"/>
        <v>31.228999999999999</v>
      </c>
      <c r="N106" s="147">
        <f t="shared" si="240"/>
        <v>0</v>
      </c>
      <c r="O106" s="147">
        <f t="shared" si="241"/>
        <v>0</v>
      </c>
      <c r="P106" s="148">
        <f t="shared" si="136"/>
        <v>0.374</v>
      </c>
      <c r="Q106" s="147">
        <f t="shared" si="137"/>
        <v>0.187</v>
      </c>
      <c r="R106" s="147">
        <f t="shared" si="138"/>
        <v>0</v>
      </c>
      <c r="S106" s="147">
        <f t="shared" si="139"/>
        <v>0</v>
      </c>
      <c r="T106" s="200" t="str">
        <f t="shared" si="242"/>
        <v>V</v>
      </c>
      <c r="U106" s="214">
        <v>1</v>
      </c>
      <c r="V106" s="214">
        <v>1</v>
      </c>
      <c r="W106" s="214">
        <v>1</v>
      </c>
      <c r="X106" s="214">
        <v>1</v>
      </c>
      <c r="Y106" s="142"/>
      <c r="Z106" s="149">
        <f t="shared" si="243"/>
        <v>85170</v>
      </c>
      <c r="AA106" s="150">
        <f t="shared" si="244"/>
        <v>93.686999999999998</v>
      </c>
      <c r="AB106" s="151"/>
      <c r="AE106" s="582">
        <f t="shared" si="245"/>
        <v>0</v>
      </c>
      <c r="AF106" s="582">
        <f t="shared" si="246"/>
        <v>0</v>
      </c>
    </row>
    <row r="107" spans="1:32" ht="18" customHeight="1">
      <c r="A107" s="120">
        <v>16</v>
      </c>
      <c r="B107" s="220" t="s">
        <v>260</v>
      </c>
      <c r="C107" s="221" t="s">
        <v>57</v>
      </c>
      <c r="D107" s="222">
        <v>0</v>
      </c>
      <c r="E107" s="223" t="s">
        <v>404</v>
      </c>
      <c r="F107" s="63" t="s">
        <v>405</v>
      </c>
      <c r="G107" s="63" t="s">
        <v>271</v>
      </c>
      <c r="H107" s="51" t="s">
        <v>296</v>
      </c>
      <c r="I107" s="145">
        <v>90</v>
      </c>
      <c r="J107" s="213">
        <v>3510</v>
      </c>
      <c r="K107" s="146">
        <f t="shared" si="237"/>
        <v>510</v>
      </c>
      <c r="L107" s="147">
        <f t="shared" si="238"/>
        <v>33.659999999999997</v>
      </c>
      <c r="M107" s="147">
        <f t="shared" si="239"/>
        <v>16.829999999999998</v>
      </c>
      <c r="N107" s="147">
        <f t="shared" si="240"/>
        <v>0</v>
      </c>
      <c r="O107" s="147">
        <f t="shared" si="241"/>
        <v>0</v>
      </c>
      <c r="P107" s="148">
        <f t="shared" si="136"/>
        <v>0.374</v>
      </c>
      <c r="Q107" s="147">
        <f t="shared" si="137"/>
        <v>0.187</v>
      </c>
      <c r="R107" s="147">
        <f t="shared" si="138"/>
        <v>0</v>
      </c>
      <c r="S107" s="147">
        <f t="shared" si="139"/>
        <v>0</v>
      </c>
      <c r="T107" s="200" t="str">
        <f t="shared" si="242"/>
        <v>V</v>
      </c>
      <c r="U107" s="214">
        <v>1</v>
      </c>
      <c r="V107" s="214">
        <v>1</v>
      </c>
      <c r="W107" s="214">
        <v>1</v>
      </c>
      <c r="X107" s="214">
        <v>1</v>
      </c>
      <c r="Y107" s="142"/>
      <c r="Z107" s="149">
        <f t="shared" si="243"/>
        <v>45900</v>
      </c>
      <c r="AA107" s="150">
        <f t="shared" si="244"/>
        <v>50.489999999999995</v>
      </c>
      <c r="AB107" s="151"/>
      <c r="AE107" s="582">
        <f t="shared" si="245"/>
        <v>0</v>
      </c>
      <c r="AF107" s="582">
        <f t="shared" si="246"/>
        <v>0</v>
      </c>
    </row>
    <row r="108" spans="1:32" ht="18" customHeight="1">
      <c r="A108" s="120">
        <v>17</v>
      </c>
      <c r="B108" s="220" t="s">
        <v>260</v>
      </c>
      <c r="C108" s="221" t="s">
        <v>57</v>
      </c>
      <c r="D108" s="222">
        <v>0</v>
      </c>
      <c r="E108" s="223" t="s">
        <v>406</v>
      </c>
      <c r="F108" s="63" t="s">
        <v>407</v>
      </c>
      <c r="G108" s="63" t="s">
        <v>271</v>
      </c>
      <c r="H108" s="51" t="s">
        <v>296</v>
      </c>
      <c r="I108" s="145">
        <v>1.3</v>
      </c>
      <c r="J108" s="213">
        <v>3510</v>
      </c>
      <c r="K108" s="146">
        <f t="shared" si="237"/>
        <v>510</v>
      </c>
      <c r="L108" s="147">
        <f t="shared" si="238"/>
        <v>0.48620000000000002</v>
      </c>
      <c r="M108" s="147">
        <f t="shared" si="239"/>
        <v>0.24310000000000001</v>
      </c>
      <c r="N108" s="147">
        <f t="shared" si="240"/>
        <v>0</v>
      </c>
      <c r="O108" s="147">
        <f t="shared" si="241"/>
        <v>0</v>
      </c>
      <c r="P108" s="148">
        <f t="shared" si="136"/>
        <v>0.374</v>
      </c>
      <c r="Q108" s="147">
        <f t="shared" si="137"/>
        <v>0.187</v>
      </c>
      <c r="R108" s="147">
        <f t="shared" si="138"/>
        <v>0</v>
      </c>
      <c r="S108" s="147">
        <f t="shared" si="139"/>
        <v>0</v>
      </c>
      <c r="T108" s="200" t="str">
        <f t="shared" si="242"/>
        <v>V</v>
      </c>
      <c r="U108" s="214">
        <v>1</v>
      </c>
      <c r="V108" s="214">
        <v>1</v>
      </c>
      <c r="W108" s="214">
        <v>1</v>
      </c>
      <c r="X108" s="214">
        <v>1</v>
      </c>
      <c r="Y108" s="142"/>
      <c r="Z108" s="149">
        <f t="shared" si="243"/>
        <v>663</v>
      </c>
      <c r="AA108" s="150">
        <f t="shared" si="244"/>
        <v>0.72930000000000006</v>
      </c>
      <c r="AB108" s="151"/>
      <c r="AE108" s="582">
        <f t="shared" si="245"/>
        <v>0</v>
      </c>
      <c r="AF108" s="582">
        <f t="shared" si="246"/>
        <v>0</v>
      </c>
    </row>
    <row r="109" spans="1:32" ht="18" customHeight="1">
      <c r="A109" s="120">
        <v>20</v>
      </c>
      <c r="B109" s="220" t="s">
        <v>260</v>
      </c>
      <c r="C109" s="221" t="s">
        <v>57</v>
      </c>
      <c r="D109" s="222">
        <v>0</v>
      </c>
      <c r="E109" s="223" t="s">
        <v>408</v>
      </c>
      <c r="F109" s="63" t="s">
        <v>409</v>
      </c>
      <c r="G109" s="63" t="s">
        <v>271</v>
      </c>
      <c r="H109" s="51" t="s">
        <v>296</v>
      </c>
      <c r="I109" s="145">
        <v>6.1</v>
      </c>
      <c r="J109" s="213">
        <v>5510</v>
      </c>
      <c r="K109" s="146">
        <f t="shared" si="237"/>
        <v>510</v>
      </c>
      <c r="L109" s="147">
        <f t="shared" si="238"/>
        <v>4.7763</v>
      </c>
      <c r="M109" s="147">
        <f t="shared" si="239"/>
        <v>2.38815</v>
      </c>
      <c r="N109" s="147">
        <f t="shared" si="240"/>
        <v>0</v>
      </c>
      <c r="O109" s="147">
        <f t="shared" si="241"/>
        <v>0</v>
      </c>
      <c r="P109" s="148">
        <f t="shared" si="136"/>
        <v>0.78300000000000003</v>
      </c>
      <c r="Q109" s="147">
        <f t="shared" si="137"/>
        <v>0.39150000000000001</v>
      </c>
      <c r="R109" s="147">
        <f t="shared" si="138"/>
        <v>0</v>
      </c>
      <c r="S109" s="147">
        <f t="shared" si="139"/>
        <v>0</v>
      </c>
      <c r="T109" s="200" t="str">
        <f t="shared" si="242"/>
        <v>V</v>
      </c>
      <c r="U109" s="214">
        <v>1</v>
      </c>
      <c r="V109" s="214">
        <v>1</v>
      </c>
      <c r="W109" s="214">
        <v>1</v>
      </c>
      <c r="X109" s="214">
        <v>1</v>
      </c>
      <c r="Y109" s="142"/>
      <c r="Z109" s="149">
        <f t="shared" si="243"/>
        <v>3111</v>
      </c>
      <c r="AA109" s="150">
        <f t="shared" si="244"/>
        <v>7.1644500000000004</v>
      </c>
      <c r="AB109" s="151"/>
      <c r="AE109" s="582">
        <f t="shared" si="245"/>
        <v>0</v>
      </c>
      <c r="AF109" s="582">
        <f t="shared" si="246"/>
        <v>0</v>
      </c>
    </row>
    <row r="110" spans="1:32" ht="18" customHeight="1">
      <c r="A110" s="120">
        <v>21</v>
      </c>
      <c r="B110" s="220" t="s">
        <v>260</v>
      </c>
      <c r="C110" s="221" t="s">
        <v>57</v>
      </c>
      <c r="D110" s="222">
        <v>0</v>
      </c>
      <c r="E110" s="223">
        <v>103</v>
      </c>
      <c r="F110" s="63" t="s">
        <v>274</v>
      </c>
      <c r="G110" s="63" t="s">
        <v>263</v>
      </c>
      <c r="H110" s="51" t="s">
        <v>76</v>
      </c>
      <c r="I110" s="145">
        <v>12.1</v>
      </c>
      <c r="J110" s="213">
        <v>15255</v>
      </c>
      <c r="K110" s="146">
        <f t="shared" si="237"/>
        <v>255</v>
      </c>
      <c r="L110" s="147">
        <f t="shared" si="238"/>
        <v>6.7155000000000005</v>
      </c>
      <c r="M110" s="147">
        <f t="shared" si="239"/>
        <v>0</v>
      </c>
      <c r="N110" s="147">
        <f t="shared" si="240"/>
        <v>0</v>
      </c>
      <c r="O110" s="147">
        <f t="shared" si="241"/>
        <v>0</v>
      </c>
      <c r="P110" s="148">
        <f t="shared" si="136"/>
        <v>0.55500000000000005</v>
      </c>
      <c r="Q110" s="147">
        <f t="shared" si="137"/>
        <v>0</v>
      </c>
      <c r="R110" s="147">
        <f t="shared" si="138"/>
        <v>0</v>
      </c>
      <c r="S110" s="147">
        <f t="shared" si="139"/>
        <v>0</v>
      </c>
      <c r="T110" s="200" t="str">
        <f t="shared" si="242"/>
        <v>B</v>
      </c>
      <c r="U110" s="214">
        <v>1</v>
      </c>
      <c r="V110" s="214">
        <v>1</v>
      </c>
      <c r="W110" s="214">
        <v>1</v>
      </c>
      <c r="X110" s="214">
        <v>1</v>
      </c>
      <c r="Y110" s="142"/>
      <c r="Z110" s="149">
        <f t="shared" si="243"/>
        <v>3085.5</v>
      </c>
      <c r="AA110" s="150">
        <f t="shared" si="244"/>
        <v>6.7155000000000005</v>
      </c>
      <c r="AB110" s="151"/>
      <c r="AE110" s="582">
        <f t="shared" si="245"/>
        <v>0</v>
      </c>
      <c r="AF110" s="582">
        <f t="shared" si="246"/>
        <v>12.1</v>
      </c>
    </row>
    <row r="111" spans="1:32" ht="18" customHeight="1">
      <c r="A111" s="120">
        <v>23</v>
      </c>
      <c r="B111" s="220" t="s">
        <v>260</v>
      </c>
      <c r="C111" s="221" t="s">
        <v>57</v>
      </c>
      <c r="D111" s="222">
        <v>0</v>
      </c>
      <c r="E111" s="223">
        <v>104</v>
      </c>
      <c r="F111" s="63" t="s">
        <v>274</v>
      </c>
      <c r="G111" s="63" t="s">
        <v>263</v>
      </c>
      <c r="H111" s="51" t="s">
        <v>76</v>
      </c>
      <c r="I111" s="145">
        <v>12.1</v>
      </c>
      <c r="J111" s="213">
        <v>15255</v>
      </c>
      <c r="K111" s="146">
        <f t="shared" si="237"/>
        <v>255</v>
      </c>
      <c r="L111" s="147">
        <f t="shared" si="238"/>
        <v>6.7155000000000005</v>
      </c>
      <c r="M111" s="147">
        <f t="shared" si="239"/>
        <v>0</v>
      </c>
      <c r="N111" s="147">
        <f t="shared" si="240"/>
        <v>0</v>
      </c>
      <c r="O111" s="147">
        <f t="shared" si="241"/>
        <v>0</v>
      </c>
      <c r="P111" s="148">
        <f t="shared" si="136"/>
        <v>0.55500000000000005</v>
      </c>
      <c r="Q111" s="147">
        <f t="shared" si="137"/>
        <v>0</v>
      </c>
      <c r="R111" s="147">
        <f t="shared" si="138"/>
        <v>0</v>
      </c>
      <c r="S111" s="147">
        <f t="shared" si="139"/>
        <v>0</v>
      </c>
      <c r="T111" s="200" t="str">
        <f t="shared" si="242"/>
        <v>B</v>
      </c>
      <c r="U111" s="214">
        <v>1</v>
      </c>
      <c r="V111" s="214">
        <v>1</v>
      </c>
      <c r="W111" s="214">
        <v>1</v>
      </c>
      <c r="X111" s="214">
        <v>1</v>
      </c>
      <c r="Y111" s="142"/>
      <c r="Z111" s="149">
        <f t="shared" si="243"/>
        <v>3085.5</v>
      </c>
      <c r="AA111" s="150">
        <f t="shared" si="244"/>
        <v>6.7155000000000005</v>
      </c>
      <c r="AB111" s="151"/>
      <c r="AE111" s="582">
        <f t="shared" si="245"/>
        <v>0</v>
      </c>
      <c r="AF111" s="582">
        <f t="shared" si="246"/>
        <v>12.1</v>
      </c>
    </row>
    <row r="112" spans="1:32" ht="18" customHeight="1">
      <c r="A112" s="120">
        <v>24</v>
      </c>
      <c r="B112" s="220" t="s">
        <v>260</v>
      </c>
      <c r="C112" s="221" t="s">
        <v>57</v>
      </c>
      <c r="D112" s="222">
        <v>0</v>
      </c>
      <c r="E112" s="223">
        <v>105</v>
      </c>
      <c r="F112" s="63" t="s">
        <v>274</v>
      </c>
      <c r="G112" s="63" t="s">
        <v>263</v>
      </c>
      <c r="H112" s="51" t="s">
        <v>76</v>
      </c>
      <c r="I112" s="145">
        <v>12.1</v>
      </c>
      <c r="J112" s="213">
        <v>15255</v>
      </c>
      <c r="K112" s="146">
        <f t="shared" si="237"/>
        <v>255</v>
      </c>
      <c r="L112" s="147">
        <f t="shared" si="238"/>
        <v>6.7155000000000005</v>
      </c>
      <c r="M112" s="147">
        <f t="shared" si="239"/>
        <v>0</v>
      </c>
      <c r="N112" s="147">
        <f t="shared" si="240"/>
        <v>0</v>
      </c>
      <c r="O112" s="147">
        <f t="shared" si="241"/>
        <v>0</v>
      </c>
      <c r="P112" s="148">
        <f t="shared" si="136"/>
        <v>0.55500000000000005</v>
      </c>
      <c r="Q112" s="147">
        <f t="shared" si="137"/>
        <v>0</v>
      </c>
      <c r="R112" s="147">
        <f t="shared" si="138"/>
        <v>0</v>
      </c>
      <c r="S112" s="147">
        <f t="shared" si="139"/>
        <v>0</v>
      </c>
      <c r="T112" s="200" t="str">
        <f t="shared" si="242"/>
        <v>B</v>
      </c>
      <c r="U112" s="214">
        <v>1</v>
      </c>
      <c r="V112" s="214">
        <v>1</v>
      </c>
      <c r="W112" s="214">
        <v>1</v>
      </c>
      <c r="X112" s="214">
        <v>1</v>
      </c>
      <c r="Y112" s="142"/>
      <c r="Z112" s="149">
        <f t="shared" si="243"/>
        <v>3085.5</v>
      </c>
      <c r="AA112" s="150">
        <f t="shared" si="244"/>
        <v>6.7155000000000005</v>
      </c>
      <c r="AB112" s="151"/>
      <c r="AE112" s="582">
        <f t="shared" si="245"/>
        <v>0</v>
      </c>
      <c r="AF112" s="582">
        <f t="shared" si="246"/>
        <v>12.1</v>
      </c>
    </row>
    <row r="113" spans="1:32" ht="18" customHeight="1">
      <c r="A113" s="120">
        <v>25</v>
      </c>
      <c r="B113" s="220" t="s">
        <v>260</v>
      </c>
      <c r="C113" s="221" t="s">
        <v>57</v>
      </c>
      <c r="D113" s="222">
        <v>0</v>
      </c>
      <c r="E113" s="223">
        <v>106</v>
      </c>
      <c r="F113" s="63" t="s">
        <v>274</v>
      </c>
      <c r="G113" s="63" t="s">
        <v>263</v>
      </c>
      <c r="H113" s="51" t="s">
        <v>76</v>
      </c>
      <c r="I113" s="145">
        <v>16.7</v>
      </c>
      <c r="J113" s="213">
        <v>15255</v>
      </c>
      <c r="K113" s="146">
        <f t="shared" si="237"/>
        <v>255</v>
      </c>
      <c r="L113" s="147">
        <f t="shared" si="238"/>
        <v>9.2685000000000013</v>
      </c>
      <c r="M113" s="147">
        <f t="shared" si="239"/>
        <v>0</v>
      </c>
      <c r="N113" s="147">
        <f t="shared" si="240"/>
        <v>0</v>
      </c>
      <c r="O113" s="147">
        <f t="shared" si="241"/>
        <v>0</v>
      </c>
      <c r="P113" s="148">
        <f t="shared" si="136"/>
        <v>0.55500000000000005</v>
      </c>
      <c r="Q113" s="147">
        <f t="shared" si="137"/>
        <v>0</v>
      </c>
      <c r="R113" s="147">
        <f t="shared" si="138"/>
        <v>0</v>
      </c>
      <c r="S113" s="147">
        <f t="shared" si="139"/>
        <v>0</v>
      </c>
      <c r="T113" s="200" t="str">
        <f t="shared" si="242"/>
        <v>B</v>
      </c>
      <c r="U113" s="214">
        <v>1</v>
      </c>
      <c r="V113" s="214">
        <v>1</v>
      </c>
      <c r="W113" s="214">
        <v>1</v>
      </c>
      <c r="X113" s="214">
        <v>1</v>
      </c>
      <c r="Y113" s="142"/>
      <c r="Z113" s="149">
        <f t="shared" si="243"/>
        <v>4258.5</v>
      </c>
      <c r="AA113" s="150">
        <f t="shared" si="244"/>
        <v>9.2685000000000013</v>
      </c>
      <c r="AB113" s="151"/>
      <c r="AE113" s="582">
        <f t="shared" si="245"/>
        <v>0</v>
      </c>
      <c r="AF113" s="582">
        <f t="shared" si="246"/>
        <v>16.7</v>
      </c>
    </row>
    <row r="114" spans="1:32" ht="18" customHeight="1">
      <c r="B114" s="220" t="s">
        <v>260</v>
      </c>
      <c r="C114" s="221" t="s">
        <v>57</v>
      </c>
      <c r="D114" s="143">
        <v>1</v>
      </c>
      <c r="E114" s="144">
        <v>101</v>
      </c>
      <c r="F114" s="63" t="s">
        <v>262</v>
      </c>
      <c r="G114" s="63" t="s">
        <v>263</v>
      </c>
      <c r="H114" s="51" t="s">
        <v>76</v>
      </c>
      <c r="I114" s="145">
        <v>28.5</v>
      </c>
      <c r="J114" s="213">
        <v>1104</v>
      </c>
      <c r="K114" s="146">
        <f t="shared" si="135"/>
        <v>104</v>
      </c>
      <c r="L114" s="147">
        <f t="shared" si="1"/>
        <v>7.5320470588235295</v>
      </c>
      <c r="M114" s="147">
        <f t="shared" si="2"/>
        <v>0</v>
      </c>
      <c r="N114" s="147">
        <f t="shared" si="3"/>
        <v>0</v>
      </c>
      <c r="O114" s="147">
        <f t="shared" si="4"/>
        <v>0</v>
      </c>
      <c r="P114" s="148">
        <f t="shared" si="136"/>
        <v>0.26428235294117647</v>
      </c>
      <c r="Q114" s="147">
        <f t="shared" si="137"/>
        <v>0</v>
      </c>
      <c r="R114" s="147">
        <f t="shared" si="138"/>
        <v>0</v>
      </c>
      <c r="S114" s="147">
        <f t="shared" si="139"/>
        <v>0</v>
      </c>
      <c r="T114" s="200" t="str">
        <f t="shared" si="140"/>
        <v>B</v>
      </c>
      <c r="U114" s="214">
        <v>1</v>
      </c>
      <c r="V114" s="214">
        <v>1</v>
      </c>
      <c r="W114" s="214">
        <v>1</v>
      </c>
      <c r="X114" s="214">
        <v>1</v>
      </c>
      <c r="Y114" s="142"/>
      <c r="Z114" s="149">
        <f t="shared" si="121"/>
        <v>2964</v>
      </c>
      <c r="AA114" s="150">
        <f t="shared" si="122"/>
        <v>7.5320470588235295</v>
      </c>
      <c r="AB114" s="151"/>
      <c r="AE114" s="582">
        <f t="shared" si="123"/>
        <v>0</v>
      </c>
      <c r="AF114" s="582">
        <f t="shared" si="124"/>
        <v>28.5</v>
      </c>
    </row>
    <row r="115" spans="1:32" ht="18" customHeight="1">
      <c r="B115" s="220" t="s">
        <v>260</v>
      </c>
      <c r="C115" s="221" t="s">
        <v>57</v>
      </c>
      <c r="D115" s="143">
        <v>1</v>
      </c>
      <c r="E115" s="144">
        <v>102</v>
      </c>
      <c r="F115" s="63" t="s">
        <v>262</v>
      </c>
      <c r="G115" s="63" t="s">
        <v>263</v>
      </c>
      <c r="H115" s="51" t="s">
        <v>76</v>
      </c>
      <c r="I115" s="145">
        <v>28</v>
      </c>
      <c r="J115" s="213">
        <v>1104</v>
      </c>
      <c r="K115" s="146">
        <f t="shared" si="135"/>
        <v>104</v>
      </c>
      <c r="L115" s="147">
        <f t="shared" si="1"/>
        <v>7.3999058823529413</v>
      </c>
      <c r="M115" s="147">
        <f t="shared" si="2"/>
        <v>0</v>
      </c>
      <c r="N115" s="147">
        <f t="shared" si="3"/>
        <v>0</v>
      </c>
      <c r="O115" s="147">
        <f t="shared" si="4"/>
        <v>0</v>
      </c>
      <c r="P115" s="148">
        <f t="shared" si="136"/>
        <v>0.26428235294117647</v>
      </c>
      <c r="Q115" s="147">
        <f t="shared" si="137"/>
        <v>0</v>
      </c>
      <c r="R115" s="147">
        <f t="shared" si="138"/>
        <v>0</v>
      </c>
      <c r="S115" s="147">
        <f t="shared" si="139"/>
        <v>0</v>
      </c>
      <c r="T115" s="200" t="str">
        <f t="shared" si="140"/>
        <v>B</v>
      </c>
      <c r="U115" s="214">
        <v>1</v>
      </c>
      <c r="V115" s="214">
        <v>1</v>
      </c>
      <c r="W115" s="214">
        <v>1</v>
      </c>
      <c r="X115" s="214">
        <v>1</v>
      </c>
      <c r="Y115" s="142"/>
      <c r="Z115" s="149">
        <f t="shared" si="121"/>
        <v>2912</v>
      </c>
      <c r="AA115" s="150">
        <f t="shared" si="122"/>
        <v>7.3999058823529413</v>
      </c>
      <c r="AB115" s="151"/>
      <c r="AE115" s="582">
        <f t="shared" si="123"/>
        <v>0</v>
      </c>
      <c r="AF115" s="582">
        <f t="shared" si="124"/>
        <v>28</v>
      </c>
    </row>
    <row r="116" spans="1:32" ht="18" customHeight="1">
      <c r="B116" s="220" t="s">
        <v>260</v>
      </c>
      <c r="C116" s="221" t="s">
        <v>57</v>
      </c>
      <c r="D116" s="143">
        <v>1</v>
      </c>
      <c r="E116" s="144">
        <v>113</v>
      </c>
      <c r="F116" s="63" t="s">
        <v>410</v>
      </c>
      <c r="G116" s="63" t="s">
        <v>271</v>
      </c>
      <c r="H116" s="51" t="s">
        <v>76</v>
      </c>
      <c r="I116" s="145">
        <v>7.4</v>
      </c>
      <c r="J116" s="213">
        <v>3255</v>
      </c>
      <c r="K116" s="146">
        <f t="shared" si="135"/>
        <v>255</v>
      </c>
      <c r="L116" s="147">
        <f t="shared" si="1"/>
        <v>2.7676000000000003</v>
      </c>
      <c r="M116" s="147">
        <f t="shared" si="2"/>
        <v>0</v>
      </c>
      <c r="N116" s="147">
        <f t="shared" si="3"/>
        <v>0</v>
      </c>
      <c r="O116" s="147">
        <f t="shared" si="4"/>
        <v>0</v>
      </c>
      <c r="P116" s="148">
        <f t="shared" si="136"/>
        <v>0.374</v>
      </c>
      <c r="Q116" s="147">
        <f t="shared" si="137"/>
        <v>0</v>
      </c>
      <c r="R116" s="147">
        <f t="shared" si="138"/>
        <v>0</v>
      </c>
      <c r="S116" s="147">
        <f t="shared" si="139"/>
        <v>0</v>
      </c>
      <c r="T116" s="200" t="str">
        <f t="shared" si="140"/>
        <v>V</v>
      </c>
      <c r="U116" s="214">
        <v>1</v>
      </c>
      <c r="V116" s="214">
        <v>1</v>
      </c>
      <c r="W116" s="214">
        <v>1</v>
      </c>
      <c r="X116" s="214">
        <v>1</v>
      </c>
      <c r="Y116" s="142"/>
      <c r="Z116" s="149">
        <f t="shared" si="121"/>
        <v>1887</v>
      </c>
      <c r="AA116" s="150">
        <f t="shared" si="122"/>
        <v>2.7676000000000003</v>
      </c>
      <c r="AB116" s="151"/>
      <c r="AE116" s="582">
        <f t="shared" si="123"/>
        <v>0</v>
      </c>
      <c r="AF116" s="582">
        <f t="shared" si="124"/>
        <v>7.4</v>
      </c>
    </row>
    <row r="117" spans="1:32" ht="18" customHeight="1">
      <c r="B117" s="220" t="s">
        <v>260</v>
      </c>
      <c r="C117" s="221" t="s">
        <v>57</v>
      </c>
      <c r="D117" s="143">
        <v>1</v>
      </c>
      <c r="E117" s="144">
        <v>103</v>
      </c>
      <c r="F117" s="63" t="s">
        <v>262</v>
      </c>
      <c r="G117" s="63" t="s">
        <v>263</v>
      </c>
      <c r="H117" s="51" t="s">
        <v>76</v>
      </c>
      <c r="I117" s="145">
        <v>31.1</v>
      </c>
      <c r="J117" s="213">
        <v>1104</v>
      </c>
      <c r="K117" s="146">
        <f t="shared" si="135"/>
        <v>104</v>
      </c>
      <c r="L117" s="147">
        <f t="shared" si="1"/>
        <v>8.2191811764705882</v>
      </c>
      <c r="M117" s="147">
        <f t="shared" si="2"/>
        <v>0</v>
      </c>
      <c r="N117" s="147">
        <f t="shared" si="3"/>
        <v>0</v>
      </c>
      <c r="O117" s="147">
        <f t="shared" si="4"/>
        <v>0</v>
      </c>
      <c r="P117" s="148">
        <f t="shared" si="136"/>
        <v>0.26428235294117647</v>
      </c>
      <c r="Q117" s="147">
        <f t="shared" si="137"/>
        <v>0</v>
      </c>
      <c r="R117" s="147">
        <f t="shared" si="138"/>
        <v>0</v>
      </c>
      <c r="S117" s="147">
        <f t="shared" si="139"/>
        <v>0</v>
      </c>
      <c r="T117" s="200" t="str">
        <f t="shared" si="140"/>
        <v>B</v>
      </c>
      <c r="U117" s="214">
        <v>1</v>
      </c>
      <c r="V117" s="214">
        <v>1</v>
      </c>
      <c r="W117" s="214">
        <v>1</v>
      </c>
      <c r="X117" s="214">
        <v>1</v>
      </c>
      <c r="Y117" s="142"/>
      <c r="Z117" s="149">
        <f t="shared" si="121"/>
        <v>3234.4</v>
      </c>
      <c r="AA117" s="150">
        <f t="shared" si="122"/>
        <v>8.2191811764705882</v>
      </c>
      <c r="AB117" s="151"/>
      <c r="AE117" s="582">
        <f t="shared" si="123"/>
        <v>0</v>
      </c>
      <c r="AF117" s="582">
        <f t="shared" si="124"/>
        <v>31.1</v>
      </c>
    </row>
    <row r="118" spans="1:32" ht="18" customHeight="1">
      <c r="B118" s="220" t="s">
        <v>260</v>
      </c>
      <c r="C118" s="221" t="s">
        <v>57</v>
      </c>
      <c r="D118" s="143">
        <v>1</v>
      </c>
      <c r="E118" s="144">
        <v>104</v>
      </c>
      <c r="F118" s="63" t="s">
        <v>262</v>
      </c>
      <c r="G118" s="63" t="s">
        <v>263</v>
      </c>
      <c r="H118" s="51" t="s">
        <v>76</v>
      </c>
      <c r="I118" s="145">
        <v>24.5</v>
      </c>
      <c r="J118" s="213">
        <v>1104</v>
      </c>
      <c r="K118" s="146">
        <f t="shared" si="135"/>
        <v>104</v>
      </c>
      <c r="L118" s="147">
        <f t="shared" si="1"/>
        <v>6.4749176470588239</v>
      </c>
      <c r="M118" s="147">
        <f t="shared" si="2"/>
        <v>0</v>
      </c>
      <c r="N118" s="147">
        <f t="shared" si="3"/>
        <v>0</v>
      </c>
      <c r="O118" s="147">
        <f t="shared" si="4"/>
        <v>0</v>
      </c>
      <c r="P118" s="148">
        <f t="shared" si="136"/>
        <v>0.26428235294117647</v>
      </c>
      <c r="Q118" s="147">
        <f t="shared" si="137"/>
        <v>0</v>
      </c>
      <c r="R118" s="147">
        <f t="shared" si="138"/>
        <v>0</v>
      </c>
      <c r="S118" s="147">
        <f t="shared" si="139"/>
        <v>0</v>
      </c>
      <c r="T118" s="200" t="str">
        <f t="shared" si="140"/>
        <v>B</v>
      </c>
      <c r="U118" s="214">
        <v>1</v>
      </c>
      <c r="V118" s="214">
        <v>1</v>
      </c>
      <c r="W118" s="214">
        <v>1</v>
      </c>
      <c r="X118" s="214">
        <v>1</v>
      </c>
      <c r="Y118" s="142"/>
      <c r="Z118" s="149">
        <f t="shared" si="121"/>
        <v>2548</v>
      </c>
      <c r="AA118" s="150">
        <f t="shared" si="122"/>
        <v>6.4749176470588239</v>
      </c>
      <c r="AB118" s="151"/>
      <c r="AE118" s="582">
        <f t="shared" si="123"/>
        <v>0</v>
      </c>
      <c r="AF118" s="582">
        <f t="shared" si="124"/>
        <v>24.5</v>
      </c>
    </row>
    <row r="119" spans="1:32" ht="18" customHeight="1">
      <c r="B119" s="220" t="s">
        <v>260</v>
      </c>
      <c r="C119" s="221" t="s">
        <v>57</v>
      </c>
      <c r="D119" s="143">
        <v>1</v>
      </c>
      <c r="E119" s="144">
        <v>105</v>
      </c>
      <c r="F119" s="63" t="s">
        <v>262</v>
      </c>
      <c r="G119" s="63" t="s">
        <v>263</v>
      </c>
      <c r="H119" s="51" t="s">
        <v>76</v>
      </c>
      <c r="I119" s="145">
        <v>23.8</v>
      </c>
      <c r="J119" s="213">
        <v>1104</v>
      </c>
      <c r="K119" s="146">
        <f t="shared" ref="K119" si="247">SUM(IF(J119="",0,VLOOKUP(J119,Kengetal,2)))</f>
        <v>104</v>
      </c>
      <c r="L119" s="147">
        <f t="shared" ref="L119" si="248">P119*I119*U119</f>
        <v>6.2899200000000004</v>
      </c>
      <c r="M119" s="147">
        <f t="shared" ref="M119" si="249">Q119*I119*V119</f>
        <v>0</v>
      </c>
      <c r="N119" s="147">
        <f t="shared" ref="N119" si="250">R119*I119*W119</f>
        <v>0</v>
      </c>
      <c r="O119" s="147">
        <f t="shared" ref="O119" si="251">S119*I119*X119</f>
        <v>0</v>
      </c>
      <c r="P119" s="148">
        <f t="shared" si="136"/>
        <v>0.26428235294117647</v>
      </c>
      <c r="Q119" s="147">
        <f t="shared" si="137"/>
        <v>0</v>
      </c>
      <c r="R119" s="147">
        <f t="shared" si="138"/>
        <v>0</v>
      </c>
      <c r="S119" s="147">
        <f t="shared" si="139"/>
        <v>0</v>
      </c>
      <c r="T119" s="200" t="str">
        <f t="shared" ref="T119" si="252">IF(J119="","",VLOOKUP(J119,Kengetal,13,FALSE))</f>
        <v>B</v>
      </c>
      <c r="U119" s="214">
        <v>1</v>
      </c>
      <c r="V119" s="214">
        <v>1</v>
      </c>
      <c r="W119" s="214">
        <v>1</v>
      </c>
      <c r="X119" s="214">
        <v>1</v>
      </c>
      <c r="Y119" s="142"/>
      <c r="Z119" s="149">
        <f t="shared" ref="Z119" si="253">I119*K119</f>
        <v>2475.2000000000003</v>
      </c>
      <c r="AA119" s="150">
        <f t="shared" ref="AA119" si="254">L119+M119+N119+O119</f>
        <v>6.2899200000000004</v>
      </c>
      <c r="AB119" s="151"/>
      <c r="AE119" s="582">
        <f t="shared" ref="AE119" si="255">SUMIF(H119,"Linoleum",I119)</f>
        <v>0</v>
      </c>
      <c r="AF119" s="582">
        <f t="shared" ref="AF119" si="256">SUMIF(H119,"Tapijt",I119)</f>
        <v>23.8</v>
      </c>
    </row>
    <row r="120" spans="1:32" ht="18" customHeight="1">
      <c r="B120" s="220" t="s">
        <v>260</v>
      </c>
      <c r="C120" s="221" t="s">
        <v>57</v>
      </c>
      <c r="D120" s="143">
        <v>1</v>
      </c>
      <c r="E120" s="144">
        <v>106</v>
      </c>
      <c r="F120" s="63" t="s">
        <v>262</v>
      </c>
      <c r="G120" s="63" t="s">
        <v>263</v>
      </c>
      <c r="H120" s="51" t="s">
        <v>76</v>
      </c>
      <c r="I120" s="145">
        <v>24.5</v>
      </c>
      <c r="J120" s="213">
        <v>1104</v>
      </c>
      <c r="K120" s="146">
        <f t="shared" ref="K120" si="257">SUM(IF(J120="",0,VLOOKUP(J120,Kengetal,2)))</f>
        <v>104</v>
      </c>
      <c r="L120" s="147">
        <f t="shared" ref="L120" si="258">P120*I120*U120</f>
        <v>6.4749176470588239</v>
      </c>
      <c r="M120" s="147">
        <f t="shared" ref="M120" si="259">Q120*I120*V120</f>
        <v>0</v>
      </c>
      <c r="N120" s="147">
        <f t="shared" ref="N120" si="260">R120*I120*W120</f>
        <v>0</v>
      </c>
      <c r="O120" s="147">
        <f t="shared" ref="O120" si="261">S120*I120*X120</f>
        <v>0</v>
      </c>
      <c r="P120" s="148">
        <f t="shared" si="136"/>
        <v>0.26428235294117647</v>
      </c>
      <c r="Q120" s="147">
        <f t="shared" si="137"/>
        <v>0</v>
      </c>
      <c r="R120" s="147">
        <f t="shared" si="138"/>
        <v>0</v>
      </c>
      <c r="S120" s="147">
        <f t="shared" si="139"/>
        <v>0</v>
      </c>
      <c r="T120" s="200" t="str">
        <f t="shared" ref="T120" si="262">IF(J120="","",VLOOKUP(J120,Kengetal,13,FALSE))</f>
        <v>B</v>
      </c>
      <c r="U120" s="214">
        <v>1</v>
      </c>
      <c r="V120" s="214">
        <v>1</v>
      </c>
      <c r="W120" s="214">
        <v>1</v>
      </c>
      <c r="X120" s="214">
        <v>1</v>
      </c>
      <c r="Y120" s="142"/>
      <c r="Z120" s="149">
        <f t="shared" ref="Z120" si="263">I120*K120</f>
        <v>2548</v>
      </c>
      <c r="AA120" s="150">
        <f t="shared" ref="AA120" si="264">L120+M120+N120+O120</f>
        <v>6.4749176470588239</v>
      </c>
      <c r="AB120" s="151"/>
      <c r="AE120" s="582">
        <f t="shared" ref="AE120" si="265">SUMIF(H120,"Linoleum",I120)</f>
        <v>0</v>
      </c>
      <c r="AF120" s="582">
        <f t="shared" ref="AF120" si="266">SUMIF(H120,"Tapijt",I120)</f>
        <v>24.5</v>
      </c>
    </row>
    <row r="121" spans="1:32" ht="18" customHeight="1">
      <c r="B121" s="220" t="s">
        <v>260</v>
      </c>
      <c r="C121" s="221" t="s">
        <v>57</v>
      </c>
      <c r="D121" s="143">
        <v>1</v>
      </c>
      <c r="E121" s="144">
        <v>107</v>
      </c>
      <c r="F121" s="63" t="s">
        <v>262</v>
      </c>
      <c r="G121" s="63" t="s">
        <v>263</v>
      </c>
      <c r="H121" s="51" t="s">
        <v>76</v>
      </c>
      <c r="I121" s="145">
        <v>34.700000000000003</v>
      </c>
      <c r="J121" s="213">
        <v>1104</v>
      </c>
      <c r="K121" s="146">
        <f t="shared" si="135"/>
        <v>104</v>
      </c>
      <c r="L121" s="147">
        <f t="shared" si="1"/>
        <v>9.1705976470588251</v>
      </c>
      <c r="M121" s="147">
        <f t="shared" si="2"/>
        <v>0</v>
      </c>
      <c r="N121" s="147">
        <f t="shared" si="3"/>
        <v>0</v>
      </c>
      <c r="O121" s="147">
        <f t="shared" si="4"/>
        <v>0</v>
      </c>
      <c r="P121" s="148">
        <f t="shared" si="136"/>
        <v>0.26428235294117647</v>
      </c>
      <c r="Q121" s="147">
        <f t="shared" si="137"/>
        <v>0</v>
      </c>
      <c r="R121" s="147">
        <f t="shared" si="138"/>
        <v>0</v>
      </c>
      <c r="S121" s="147">
        <f t="shared" si="139"/>
        <v>0</v>
      </c>
      <c r="T121" s="200" t="str">
        <f t="shared" si="140"/>
        <v>B</v>
      </c>
      <c r="U121" s="214">
        <v>1</v>
      </c>
      <c r="V121" s="214">
        <v>1</v>
      </c>
      <c r="W121" s="214">
        <v>1</v>
      </c>
      <c r="X121" s="214">
        <v>1</v>
      </c>
      <c r="Y121" s="142"/>
      <c r="Z121" s="149">
        <f t="shared" si="121"/>
        <v>3608.8</v>
      </c>
      <c r="AA121" s="150">
        <f t="shared" si="122"/>
        <v>9.1705976470588251</v>
      </c>
      <c r="AB121" s="151"/>
      <c r="AE121" s="582">
        <f t="shared" si="123"/>
        <v>0</v>
      </c>
      <c r="AF121" s="582">
        <f t="shared" si="124"/>
        <v>34.700000000000003</v>
      </c>
    </row>
    <row r="122" spans="1:32" ht="18" customHeight="1">
      <c r="B122" s="220" t="s">
        <v>260</v>
      </c>
      <c r="C122" s="221" t="s">
        <v>57</v>
      </c>
      <c r="D122" s="143">
        <v>1</v>
      </c>
      <c r="E122" s="144">
        <v>108</v>
      </c>
      <c r="F122" s="63" t="s">
        <v>262</v>
      </c>
      <c r="G122" s="63" t="s">
        <v>263</v>
      </c>
      <c r="H122" s="51" t="s">
        <v>76</v>
      </c>
      <c r="I122" s="145">
        <v>24.6</v>
      </c>
      <c r="J122" s="213">
        <v>1104</v>
      </c>
      <c r="K122" s="146">
        <f t="shared" si="135"/>
        <v>104</v>
      </c>
      <c r="L122" s="147">
        <f t="shared" si="1"/>
        <v>6.5013458823529415</v>
      </c>
      <c r="M122" s="147">
        <f t="shared" si="2"/>
        <v>0</v>
      </c>
      <c r="N122" s="147">
        <f t="shared" si="3"/>
        <v>0</v>
      </c>
      <c r="O122" s="147">
        <f t="shared" si="4"/>
        <v>0</v>
      </c>
      <c r="P122" s="148">
        <f t="shared" si="136"/>
        <v>0.26428235294117647</v>
      </c>
      <c r="Q122" s="147">
        <f t="shared" si="137"/>
        <v>0</v>
      </c>
      <c r="R122" s="147">
        <f t="shared" si="138"/>
        <v>0</v>
      </c>
      <c r="S122" s="147">
        <f t="shared" si="139"/>
        <v>0</v>
      </c>
      <c r="T122" s="200" t="str">
        <f t="shared" si="140"/>
        <v>B</v>
      </c>
      <c r="U122" s="214">
        <v>1</v>
      </c>
      <c r="V122" s="214">
        <v>1</v>
      </c>
      <c r="W122" s="214">
        <v>1</v>
      </c>
      <c r="X122" s="214">
        <v>1</v>
      </c>
      <c r="Y122" s="142"/>
      <c r="Z122" s="149">
        <f t="shared" si="121"/>
        <v>2558.4</v>
      </c>
      <c r="AA122" s="150">
        <f t="shared" si="122"/>
        <v>6.5013458823529415</v>
      </c>
      <c r="AB122" s="151"/>
      <c r="AE122" s="582">
        <f t="shared" si="123"/>
        <v>0</v>
      </c>
      <c r="AF122" s="582">
        <f t="shared" si="124"/>
        <v>24.6</v>
      </c>
    </row>
    <row r="123" spans="1:32" ht="18" customHeight="1">
      <c r="B123" s="220" t="s">
        <v>260</v>
      </c>
      <c r="C123" s="221" t="s">
        <v>57</v>
      </c>
      <c r="D123" s="143">
        <v>1</v>
      </c>
      <c r="E123" s="144">
        <v>109</v>
      </c>
      <c r="F123" s="63" t="s">
        <v>262</v>
      </c>
      <c r="G123" s="63" t="s">
        <v>263</v>
      </c>
      <c r="H123" s="51" t="s">
        <v>76</v>
      </c>
      <c r="I123" s="145">
        <v>26.6</v>
      </c>
      <c r="J123" s="213">
        <v>1104</v>
      </c>
      <c r="K123" s="146">
        <f t="shared" si="135"/>
        <v>104</v>
      </c>
      <c r="L123" s="147">
        <f t="shared" si="1"/>
        <v>7.0299105882352944</v>
      </c>
      <c r="M123" s="147">
        <f t="shared" si="2"/>
        <v>0</v>
      </c>
      <c r="N123" s="147">
        <f t="shared" si="3"/>
        <v>0</v>
      </c>
      <c r="O123" s="147">
        <f t="shared" si="4"/>
        <v>0</v>
      </c>
      <c r="P123" s="148">
        <f t="shared" si="136"/>
        <v>0.26428235294117647</v>
      </c>
      <c r="Q123" s="147">
        <f t="shared" si="137"/>
        <v>0</v>
      </c>
      <c r="R123" s="147">
        <f t="shared" si="138"/>
        <v>0</v>
      </c>
      <c r="S123" s="147">
        <f t="shared" si="139"/>
        <v>0</v>
      </c>
      <c r="T123" s="200" t="str">
        <f t="shared" si="140"/>
        <v>B</v>
      </c>
      <c r="U123" s="214">
        <v>1</v>
      </c>
      <c r="V123" s="214">
        <v>1</v>
      </c>
      <c r="W123" s="214">
        <v>1</v>
      </c>
      <c r="X123" s="214">
        <v>1</v>
      </c>
      <c r="Y123" s="142"/>
      <c r="Z123" s="149">
        <f t="shared" si="121"/>
        <v>2766.4</v>
      </c>
      <c r="AA123" s="150">
        <f t="shared" si="122"/>
        <v>7.0299105882352944</v>
      </c>
      <c r="AB123" s="151"/>
      <c r="AE123" s="582">
        <f t="shared" si="123"/>
        <v>0</v>
      </c>
      <c r="AF123" s="582">
        <f t="shared" si="124"/>
        <v>26.6</v>
      </c>
    </row>
    <row r="124" spans="1:32" ht="18" customHeight="1">
      <c r="B124" s="220" t="s">
        <v>260</v>
      </c>
      <c r="C124" s="221" t="s">
        <v>57</v>
      </c>
      <c r="D124" s="143">
        <v>1</v>
      </c>
      <c r="E124" s="144">
        <v>119</v>
      </c>
      <c r="F124" s="63" t="s">
        <v>262</v>
      </c>
      <c r="G124" s="63" t="s">
        <v>263</v>
      </c>
      <c r="H124" s="51" t="s">
        <v>76</v>
      </c>
      <c r="I124" s="145">
        <v>20.3</v>
      </c>
      <c r="J124" s="213">
        <v>1104</v>
      </c>
      <c r="K124" s="146">
        <f t="shared" si="135"/>
        <v>104</v>
      </c>
      <c r="L124" s="147">
        <f t="shared" si="1"/>
        <v>5.3649317647058821</v>
      </c>
      <c r="M124" s="147">
        <f t="shared" si="2"/>
        <v>0</v>
      </c>
      <c r="N124" s="147">
        <f t="shared" si="3"/>
        <v>0</v>
      </c>
      <c r="O124" s="147">
        <f t="shared" si="4"/>
        <v>0</v>
      </c>
      <c r="P124" s="148">
        <f t="shared" si="136"/>
        <v>0.26428235294117647</v>
      </c>
      <c r="Q124" s="147">
        <f t="shared" si="137"/>
        <v>0</v>
      </c>
      <c r="R124" s="147">
        <f t="shared" si="138"/>
        <v>0</v>
      </c>
      <c r="S124" s="147">
        <f t="shared" si="139"/>
        <v>0</v>
      </c>
      <c r="T124" s="200" t="str">
        <f t="shared" si="140"/>
        <v>B</v>
      </c>
      <c r="U124" s="214">
        <v>1</v>
      </c>
      <c r="V124" s="214">
        <v>1</v>
      </c>
      <c r="W124" s="214">
        <v>1</v>
      </c>
      <c r="X124" s="214">
        <v>1</v>
      </c>
      <c r="Y124" s="142"/>
      <c r="Z124" s="149">
        <f t="shared" si="121"/>
        <v>2111.2000000000003</v>
      </c>
      <c r="AA124" s="150">
        <f t="shared" si="122"/>
        <v>5.3649317647058821</v>
      </c>
      <c r="AB124" s="151"/>
      <c r="AE124" s="582">
        <f t="shared" si="123"/>
        <v>0</v>
      </c>
      <c r="AF124" s="582">
        <f t="shared" si="124"/>
        <v>20.3</v>
      </c>
    </row>
    <row r="125" spans="1:32" ht="18" customHeight="1">
      <c r="B125" s="220" t="s">
        <v>260</v>
      </c>
      <c r="C125" s="221" t="s">
        <v>57</v>
      </c>
      <c r="D125" s="143">
        <v>1</v>
      </c>
      <c r="E125" s="144">
        <v>162</v>
      </c>
      <c r="F125" s="63" t="s">
        <v>274</v>
      </c>
      <c r="G125" s="63" t="s">
        <v>263</v>
      </c>
      <c r="H125" s="51" t="s">
        <v>76</v>
      </c>
      <c r="I125" s="145">
        <v>60.5</v>
      </c>
      <c r="J125" s="213">
        <v>15255</v>
      </c>
      <c r="K125" s="146">
        <f t="shared" si="135"/>
        <v>255</v>
      </c>
      <c r="L125" s="147">
        <f t="shared" si="1"/>
        <v>33.577500000000001</v>
      </c>
      <c r="M125" s="147">
        <f t="shared" si="2"/>
        <v>0</v>
      </c>
      <c r="N125" s="147">
        <f t="shared" si="3"/>
        <v>0</v>
      </c>
      <c r="O125" s="147">
        <f t="shared" si="4"/>
        <v>0</v>
      </c>
      <c r="P125" s="148">
        <f t="shared" si="136"/>
        <v>0.55500000000000005</v>
      </c>
      <c r="Q125" s="147">
        <f t="shared" si="137"/>
        <v>0</v>
      </c>
      <c r="R125" s="147">
        <f t="shared" si="138"/>
        <v>0</v>
      </c>
      <c r="S125" s="147">
        <f t="shared" si="139"/>
        <v>0</v>
      </c>
      <c r="T125" s="200" t="str">
        <f t="shared" si="140"/>
        <v>B</v>
      </c>
      <c r="U125" s="214">
        <v>1</v>
      </c>
      <c r="V125" s="214">
        <v>1</v>
      </c>
      <c r="W125" s="214">
        <v>1</v>
      </c>
      <c r="X125" s="214">
        <v>1</v>
      </c>
      <c r="Y125" s="142"/>
      <c r="Z125" s="149">
        <f t="shared" si="121"/>
        <v>15427.5</v>
      </c>
      <c r="AA125" s="150">
        <f t="shared" si="122"/>
        <v>33.577500000000001</v>
      </c>
      <c r="AB125" s="151"/>
      <c r="AE125" s="582">
        <f t="shared" si="123"/>
        <v>0</v>
      </c>
      <c r="AF125" s="582">
        <f t="shared" si="124"/>
        <v>60.5</v>
      </c>
    </row>
    <row r="126" spans="1:32" ht="18" customHeight="1">
      <c r="B126" s="220" t="s">
        <v>260</v>
      </c>
      <c r="C126" s="221" t="s">
        <v>57</v>
      </c>
      <c r="D126" s="143">
        <v>1</v>
      </c>
      <c r="E126" s="144" t="s">
        <v>411</v>
      </c>
      <c r="F126" s="63" t="s">
        <v>370</v>
      </c>
      <c r="G126" s="63" t="s">
        <v>271</v>
      </c>
      <c r="H126" s="51" t="s">
        <v>401</v>
      </c>
      <c r="I126" s="145">
        <v>4.5</v>
      </c>
      <c r="J126" s="213">
        <v>6255</v>
      </c>
      <c r="K126" s="146">
        <f t="shared" ref="K126" si="267">SUM(IF(J126="",0,VLOOKUP(J126,Kengetal,2)))</f>
        <v>255</v>
      </c>
      <c r="L126" s="147">
        <f t="shared" ref="L126" si="268">P126*I126*U126</f>
        <v>5.0580000000000007</v>
      </c>
      <c r="M126" s="147">
        <f t="shared" ref="M126" si="269">Q126*I126*V126</f>
        <v>0</v>
      </c>
      <c r="N126" s="147">
        <f t="shared" ref="N126" si="270">R126*I126*W126</f>
        <v>0</v>
      </c>
      <c r="O126" s="147">
        <f t="shared" ref="O126" si="271">S126*I126*X126</f>
        <v>0</v>
      </c>
      <c r="P126" s="148">
        <f t="shared" si="136"/>
        <v>1.1240000000000001</v>
      </c>
      <c r="Q126" s="147">
        <f t="shared" si="137"/>
        <v>0</v>
      </c>
      <c r="R126" s="147">
        <f t="shared" si="138"/>
        <v>0</v>
      </c>
      <c r="S126" s="147">
        <f t="shared" si="139"/>
        <v>0</v>
      </c>
      <c r="T126" s="200" t="str">
        <f t="shared" ref="T126" si="272">IF(J126="","",VLOOKUP(J126,Kengetal,13,FALSE))</f>
        <v>V</v>
      </c>
      <c r="U126" s="214">
        <v>1</v>
      </c>
      <c r="V126" s="214">
        <v>1</v>
      </c>
      <c r="W126" s="214">
        <v>1</v>
      </c>
      <c r="X126" s="214">
        <v>1</v>
      </c>
      <c r="Y126" s="142"/>
      <c r="Z126" s="149">
        <f t="shared" ref="Z126" si="273">I126*K126</f>
        <v>1147.5</v>
      </c>
      <c r="AA126" s="150">
        <f t="shared" ref="AA126" si="274">L126+M126+N126+O126</f>
        <v>5.0580000000000007</v>
      </c>
      <c r="AB126" s="151"/>
      <c r="AE126" s="582">
        <f t="shared" ref="AE126" si="275">SUMIF(H126,"Linoleum",I126)</f>
        <v>0</v>
      </c>
      <c r="AF126" s="582">
        <f t="shared" ref="AF126" si="276">SUMIF(H126,"Tapijt",I126)</f>
        <v>0</v>
      </c>
    </row>
    <row r="127" spans="1:32" ht="18" customHeight="1">
      <c r="B127" s="220" t="s">
        <v>260</v>
      </c>
      <c r="C127" s="221" t="s">
        <v>57</v>
      </c>
      <c r="D127" s="143">
        <v>1</v>
      </c>
      <c r="E127" s="144">
        <v>154</v>
      </c>
      <c r="F127" s="63" t="s">
        <v>274</v>
      </c>
      <c r="G127" s="63" t="s">
        <v>263</v>
      </c>
      <c r="H127" s="51" t="s">
        <v>76</v>
      </c>
      <c r="I127" s="145">
        <v>20.6</v>
      </c>
      <c r="J127" s="213">
        <v>15255</v>
      </c>
      <c r="K127" s="146">
        <f t="shared" si="135"/>
        <v>255</v>
      </c>
      <c r="L127" s="147">
        <f t="shared" si="1"/>
        <v>11.433000000000002</v>
      </c>
      <c r="M127" s="147">
        <f t="shared" si="2"/>
        <v>0</v>
      </c>
      <c r="N127" s="147">
        <f t="shared" si="3"/>
        <v>0</v>
      </c>
      <c r="O127" s="147">
        <f t="shared" si="4"/>
        <v>0</v>
      </c>
      <c r="P127" s="148">
        <f t="shared" si="136"/>
        <v>0.55500000000000005</v>
      </c>
      <c r="Q127" s="147">
        <f t="shared" si="137"/>
        <v>0</v>
      </c>
      <c r="R127" s="147">
        <f t="shared" si="138"/>
        <v>0</v>
      </c>
      <c r="S127" s="147">
        <f t="shared" si="139"/>
        <v>0</v>
      </c>
      <c r="T127" s="200" t="str">
        <f t="shared" si="140"/>
        <v>B</v>
      </c>
      <c r="U127" s="214">
        <v>1</v>
      </c>
      <c r="V127" s="214">
        <v>1</v>
      </c>
      <c r="W127" s="214">
        <v>1</v>
      </c>
      <c r="X127" s="214">
        <v>1</v>
      </c>
      <c r="Y127" s="142"/>
      <c r="Z127" s="149">
        <f t="shared" si="121"/>
        <v>5253</v>
      </c>
      <c r="AA127" s="150">
        <f t="shared" si="122"/>
        <v>11.433000000000002</v>
      </c>
      <c r="AB127" s="151"/>
      <c r="AE127" s="582">
        <f t="shared" si="123"/>
        <v>0</v>
      </c>
      <c r="AF127" s="582">
        <f t="shared" si="124"/>
        <v>20.6</v>
      </c>
    </row>
    <row r="128" spans="1:32" ht="18" customHeight="1">
      <c r="B128" s="220" t="s">
        <v>260</v>
      </c>
      <c r="C128" s="221" t="s">
        <v>57</v>
      </c>
      <c r="D128" s="143">
        <v>1</v>
      </c>
      <c r="E128" s="144">
        <v>188</v>
      </c>
      <c r="F128" s="63" t="s">
        <v>274</v>
      </c>
      <c r="G128" s="63" t="s">
        <v>263</v>
      </c>
      <c r="H128" s="51" t="s">
        <v>76</v>
      </c>
      <c r="I128" s="145">
        <v>47.1</v>
      </c>
      <c r="J128" s="213">
        <v>15255</v>
      </c>
      <c r="K128" s="146">
        <f t="shared" si="135"/>
        <v>255</v>
      </c>
      <c r="L128" s="147">
        <f t="shared" si="1"/>
        <v>26.140500000000003</v>
      </c>
      <c r="M128" s="147">
        <f t="shared" si="2"/>
        <v>0</v>
      </c>
      <c r="N128" s="147">
        <f t="shared" si="3"/>
        <v>0</v>
      </c>
      <c r="O128" s="147">
        <f t="shared" si="4"/>
        <v>0</v>
      </c>
      <c r="P128" s="148">
        <f t="shared" si="136"/>
        <v>0.55500000000000005</v>
      </c>
      <c r="Q128" s="147">
        <f t="shared" si="137"/>
        <v>0</v>
      </c>
      <c r="R128" s="147">
        <f t="shared" si="138"/>
        <v>0</v>
      </c>
      <c r="S128" s="147">
        <f t="shared" si="139"/>
        <v>0</v>
      </c>
      <c r="T128" s="200" t="str">
        <f t="shared" si="140"/>
        <v>B</v>
      </c>
      <c r="U128" s="214">
        <v>1</v>
      </c>
      <c r="V128" s="214">
        <v>1</v>
      </c>
      <c r="W128" s="214">
        <v>1</v>
      </c>
      <c r="X128" s="214">
        <v>1</v>
      </c>
      <c r="Y128" s="142"/>
      <c r="Z128" s="149">
        <f t="shared" si="121"/>
        <v>12010.5</v>
      </c>
      <c r="AA128" s="150">
        <f t="shared" si="122"/>
        <v>26.140500000000003</v>
      </c>
      <c r="AB128" s="151"/>
      <c r="AE128" s="582">
        <f t="shared" si="123"/>
        <v>0</v>
      </c>
      <c r="AF128" s="582">
        <f t="shared" si="124"/>
        <v>47.1</v>
      </c>
    </row>
    <row r="129" spans="2:32" ht="18" customHeight="1">
      <c r="B129" s="220" t="s">
        <v>260</v>
      </c>
      <c r="C129" s="221" t="s">
        <v>57</v>
      </c>
      <c r="D129" s="143">
        <v>1</v>
      </c>
      <c r="E129" s="144">
        <v>132</v>
      </c>
      <c r="F129" s="63" t="s">
        <v>274</v>
      </c>
      <c r="G129" s="63" t="s">
        <v>263</v>
      </c>
      <c r="H129" s="51" t="s">
        <v>76</v>
      </c>
      <c r="I129" s="145">
        <v>29</v>
      </c>
      <c r="J129" s="213">
        <v>15255</v>
      </c>
      <c r="K129" s="146">
        <f t="shared" si="135"/>
        <v>255</v>
      </c>
      <c r="L129" s="147">
        <f t="shared" si="1"/>
        <v>16.095000000000002</v>
      </c>
      <c r="M129" s="147">
        <f t="shared" si="2"/>
        <v>0</v>
      </c>
      <c r="N129" s="147">
        <f t="shared" si="3"/>
        <v>0</v>
      </c>
      <c r="O129" s="147">
        <f t="shared" si="4"/>
        <v>0</v>
      </c>
      <c r="P129" s="148">
        <f t="shared" si="136"/>
        <v>0.55500000000000005</v>
      </c>
      <c r="Q129" s="147">
        <f t="shared" si="137"/>
        <v>0</v>
      </c>
      <c r="R129" s="147">
        <f t="shared" si="138"/>
        <v>0</v>
      </c>
      <c r="S129" s="147">
        <f t="shared" si="139"/>
        <v>0</v>
      </c>
      <c r="T129" s="200" t="str">
        <f t="shared" si="140"/>
        <v>B</v>
      </c>
      <c r="U129" s="214">
        <v>1</v>
      </c>
      <c r="V129" s="214">
        <v>1</v>
      </c>
      <c r="W129" s="214">
        <v>1</v>
      </c>
      <c r="X129" s="214">
        <v>1</v>
      </c>
      <c r="Y129" s="142"/>
      <c r="Z129" s="149">
        <f t="shared" si="121"/>
        <v>7395</v>
      </c>
      <c r="AA129" s="150">
        <f t="shared" si="122"/>
        <v>16.095000000000002</v>
      </c>
      <c r="AB129" s="151"/>
      <c r="AE129" s="582">
        <f t="shared" si="123"/>
        <v>0</v>
      </c>
      <c r="AF129" s="582">
        <f t="shared" si="124"/>
        <v>29</v>
      </c>
    </row>
    <row r="130" spans="2:32" ht="18" customHeight="1">
      <c r="B130" s="220" t="s">
        <v>260</v>
      </c>
      <c r="C130" s="221" t="s">
        <v>57</v>
      </c>
      <c r="D130" s="143">
        <v>1</v>
      </c>
      <c r="E130" s="144">
        <v>133</v>
      </c>
      <c r="F130" s="63" t="s">
        <v>274</v>
      </c>
      <c r="G130" s="63" t="s">
        <v>263</v>
      </c>
      <c r="H130" s="51" t="s">
        <v>76</v>
      </c>
      <c r="I130" s="145">
        <v>32.4</v>
      </c>
      <c r="J130" s="213">
        <v>15255</v>
      </c>
      <c r="K130" s="146">
        <f t="shared" si="135"/>
        <v>255</v>
      </c>
      <c r="L130" s="147">
        <f t="shared" si="1"/>
        <v>17.981999999999999</v>
      </c>
      <c r="M130" s="147">
        <f t="shared" si="2"/>
        <v>0</v>
      </c>
      <c r="N130" s="147">
        <f t="shared" si="3"/>
        <v>0</v>
      </c>
      <c r="O130" s="147">
        <f t="shared" si="4"/>
        <v>0</v>
      </c>
      <c r="P130" s="148">
        <f t="shared" si="136"/>
        <v>0.55500000000000005</v>
      </c>
      <c r="Q130" s="147">
        <f t="shared" si="137"/>
        <v>0</v>
      </c>
      <c r="R130" s="147">
        <f t="shared" si="138"/>
        <v>0</v>
      </c>
      <c r="S130" s="147">
        <f t="shared" si="139"/>
        <v>0</v>
      </c>
      <c r="T130" s="200" t="str">
        <f t="shared" si="140"/>
        <v>B</v>
      </c>
      <c r="U130" s="214">
        <v>1</v>
      </c>
      <c r="V130" s="214">
        <v>1</v>
      </c>
      <c r="W130" s="214">
        <v>1</v>
      </c>
      <c r="X130" s="214">
        <v>1</v>
      </c>
      <c r="Y130" s="142"/>
      <c r="Z130" s="149">
        <f t="shared" si="121"/>
        <v>8262</v>
      </c>
      <c r="AA130" s="150">
        <f t="shared" si="122"/>
        <v>17.981999999999999</v>
      </c>
      <c r="AB130" s="151"/>
      <c r="AE130" s="582">
        <f t="shared" si="123"/>
        <v>0</v>
      </c>
      <c r="AF130" s="582">
        <f t="shared" si="124"/>
        <v>32.4</v>
      </c>
    </row>
    <row r="131" spans="2:32" ht="18" customHeight="1">
      <c r="B131" s="220" t="s">
        <v>260</v>
      </c>
      <c r="C131" s="221" t="s">
        <v>57</v>
      </c>
      <c r="D131" s="143">
        <v>1</v>
      </c>
      <c r="E131" s="144">
        <v>136</v>
      </c>
      <c r="F131" s="63" t="s">
        <v>412</v>
      </c>
      <c r="G131" s="63" t="s">
        <v>263</v>
      </c>
      <c r="H131" s="51" t="s">
        <v>76</v>
      </c>
      <c r="I131" s="145">
        <v>193.7</v>
      </c>
      <c r="J131" s="213">
        <v>1255</v>
      </c>
      <c r="K131" s="146">
        <f t="shared" si="135"/>
        <v>255</v>
      </c>
      <c r="L131" s="147">
        <f t="shared" si="1"/>
        <v>104.598</v>
      </c>
      <c r="M131" s="147">
        <f t="shared" si="2"/>
        <v>0</v>
      </c>
      <c r="N131" s="147">
        <f t="shared" si="3"/>
        <v>0</v>
      </c>
      <c r="O131" s="147">
        <f t="shared" si="4"/>
        <v>0</v>
      </c>
      <c r="P131" s="148">
        <f t="shared" si="136"/>
        <v>0.54</v>
      </c>
      <c r="Q131" s="147">
        <f t="shared" si="137"/>
        <v>0</v>
      </c>
      <c r="R131" s="147">
        <f t="shared" si="138"/>
        <v>0</v>
      </c>
      <c r="S131" s="147">
        <f t="shared" si="139"/>
        <v>0</v>
      </c>
      <c r="T131" s="200" t="str">
        <f t="shared" si="140"/>
        <v>B</v>
      </c>
      <c r="U131" s="214">
        <v>1</v>
      </c>
      <c r="V131" s="214">
        <v>1</v>
      </c>
      <c r="W131" s="214">
        <v>1</v>
      </c>
      <c r="X131" s="214">
        <v>1</v>
      </c>
      <c r="Y131" s="142"/>
      <c r="Z131" s="149">
        <f t="shared" si="121"/>
        <v>49393.5</v>
      </c>
      <c r="AA131" s="150">
        <f t="shared" si="122"/>
        <v>104.598</v>
      </c>
      <c r="AB131" s="151"/>
      <c r="AE131" s="582">
        <f t="shared" si="123"/>
        <v>0</v>
      </c>
      <c r="AF131" s="582">
        <f t="shared" si="124"/>
        <v>193.7</v>
      </c>
    </row>
    <row r="132" spans="2:32" ht="18" customHeight="1">
      <c r="B132" s="220" t="s">
        <v>260</v>
      </c>
      <c r="C132" s="221" t="s">
        <v>57</v>
      </c>
      <c r="D132" s="143">
        <v>1</v>
      </c>
      <c r="E132" s="144">
        <v>139</v>
      </c>
      <c r="F132" s="63" t="s">
        <v>413</v>
      </c>
      <c r="G132" s="63" t="s">
        <v>271</v>
      </c>
      <c r="H132" s="51" t="s">
        <v>76</v>
      </c>
      <c r="I132" s="145">
        <v>100</v>
      </c>
      <c r="J132" s="213">
        <v>3255</v>
      </c>
      <c r="K132" s="146">
        <f t="shared" si="135"/>
        <v>255</v>
      </c>
      <c r="L132" s="147">
        <f t="shared" si="1"/>
        <v>37.4</v>
      </c>
      <c r="M132" s="147">
        <f t="shared" si="2"/>
        <v>0</v>
      </c>
      <c r="N132" s="147">
        <f t="shared" si="3"/>
        <v>0</v>
      </c>
      <c r="O132" s="147">
        <f t="shared" si="4"/>
        <v>0</v>
      </c>
      <c r="P132" s="148">
        <f t="shared" si="136"/>
        <v>0.374</v>
      </c>
      <c r="Q132" s="147">
        <f t="shared" si="137"/>
        <v>0</v>
      </c>
      <c r="R132" s="147">
        <f t="shared" si="138"/>
        <v>0</v>
      </c>
      <c r="S132" s="147">
        <f t="shared" si="139"/>
        <v>0</v>
      </c>
      <c r="T132" s="200" t="str">
        <f t="shared" si="140"/>
        <v>V</v>
      </c>
      <c r="U132" s="214">
        <v>1</v>
      </c>
      <c r="V132" s="214">
        <v>1</v>
      </c>
      <c r="W132" s="214">
        <v>1</v>
      </c>
      <c r="X132" s="214">
        <v>1</v>
      </c>
      <c r="Y132" s="142"/>
      <c r="Z132" s="149">
        <f t="shared" si="121"/>
        <v>25500</v>
      </c>
      <c r="AA132" s="150">
        <f t="shared" si="122"/>
        <v>37.4</v>
      </c>
      <c r="AB132" s="151"/>
      <c r="AE132" s="582">
        <f t="shared" si="123"/>
        <v>0</v>
      </c>
      <c r="AF132" s="582">
        <f t="shared" si="124"/>
        <v>100</v>
      </c>
    </row>
    <row r="133" spans="2:32" ht="18" customHeight="1">
      <c r="B133" s="220" t="s">
        <v>260</v>
      </c>
      <c r="C133" s="221" t="s">
        <v>57</v>
      </c>
      <c r="D133" s="143">
        <v>1</v>
      </c>
      <c r="E133" s="144" t="s">
        <v>414</v>
      </c>
      <c r="F133" s="63" t="s">
        <v>353</v>
      </c>
      <c r="G133" s="63" t="s">
        <v>271</v>
      </c>
      <c r="H133" s="51" t="s">
        <v>401</v>
      </c>
      <c r="I133" s="145">
        <v>34.9</v>
      </c>
      <c r="J133" s="213">
        <v>3255</v>
      </c>
      <c r="K133" s="146">
        <f t="shared" si="135"/>
        <v>255</v>
      </c>
      <c r="L133" s="147">
        <f t="shared" si="1"/>
        <v>13.0526</v>
      </c>
      <c r="M133" s="147">
        <f t="shared" si="2"/>
        <v>0</v>
      </c>
      <c r="N133" s="147">
        <f t="shared" si="3"/>
        <v>0</v>
      </c>
      <c r="O133" s="147">
        <f t="shared" si="4"/>
        <v>0</v>
      </c>
      <c r="P133" s="148">
        <f t="shared" si="136"/>
        <v>0.374</v>
      </c>
      <c r="Q133" s="147">
        <f t="shared" si="137"/>
        <v>0</v>
      </c>
      <c r="R133" s="147">
        <f t="shared" si="138"/>
        <v>0</v>
      </c>
      <c r="S133" s="147">
        <f t="shared" si="139"/>
        <v>0</v>
      </c>
      <c r="T133" s="200" t="str">
        <f t="shared" si="140"/>
        <v>V</v>
      </c>
      <c r="U133" s="214">
        <v>1</v>
      </c>
      <c r="V133" s="214">
        <v>1</v>
      </c>
      <c r="W133" s="214">
        <v>1</v>
      </c>
      <c r="X133" s="214">
        <v>1</v>
      </c>
      <c r="Y133" s="142"/>
      <c r="Z133" s="149">
        <f t="shared" si="121"/>
        <v>8899.5</v>
      </c>
      <c r="AA133" s="150">
        <f t="shared" si="122"/>
        <v>13.0526</v>
      </c>
      <c r="AB133" s="151"/>
      <c r="AE133" s="582">
        <f t="shared" si="123"/>
        <v>0</v>
      </c>
      <c r="AF133" s="582">
        <f t="shared" si="124"/>
        <v>0</v>
      </c>
    </row>
    <row r="134" spans="2:32" ht="18" customHeight="1">
      <c r="B134" s="220" t="s">
        <v>260</v>
      </c>
      <c r="C134" s="221" t="s">
        <v>57</v>
      </c>
      <c r="D134" s="143">
        <v>1</v>
      </c>
      <c r="E134" s="144">
        <v>170</v>
      </c>
      <c r="F134" s="63" t="s">
        <v>415</v>
      </c>
      <c r="G134" s="63" t="s">
        <v>271</v>
      </c>
      <c r="H134" s="51" t="s">
        <v>276</v>
      </c>
      <c r="I134" s="145">
        <v>20.7</v>
      </c>
      <c r="J134" s="213">
        <v>6255</v>
      </c>
      <c r="K134" s="146">
        <f t="shared" si="135"/>
        <v>255</v>
      </c>
      <c r="L134" s="147">
        <f t="shared" si="1"/>
        <v>23.2668</v>
      </c>
      <c r="M134" s="147">
        <f t="shared" si="2"/>
        <v>0</v>
      </c>
      <c r="N134" s="147">
        <f t="shared" si="3"/>
        <v>0</v>
      </c>
      <c r="O134" s="147">
        <f t="shared" si="4"/>
        <v>0</v>
      </c>
      <c r="P134" s="148">
        <f t="shared" si="136"/>
        <v>1.1240000000000001</v>
      </c>
      <c r="Q134" s="147">
        <f t="shared" si="137"/>
        <v>0</v>
      </c>
      <c r="R134" s="147">
        <f t="shared" si="138"/>
        <v>0</v>
      </c>
      <c r="S134" s="147">
        <f t="shared" si="139"/>
        <v>0</v>
      </c>
      <c r="T134" s="200" t="str">
        <f t="shared" si="140"/>
        <v>V</v>
      </c>
      <c r="U134" s="214">
        <v>1</v>
      </c>
      <c r="V134" s="214">
        <v>1</v>
      </c>
      <c r="W134" s="214">
        <v>1</v>
      </c>
      <c r="X134" s="214">
        <v>1</v>
      </c>
      <c r="Y134" s="142"/>
      <c r="Z134" s="149">
        <f t="shared" si="121"/>
        <v>5278.5</v>
      </c>
      <c r="AA134" s="150">
        <f t="shared" si="122"/>
        <v>23.2668</v>
      </c>
      <c r="AB134" s="151"/>
      <c r="AE134" s="582">
        <f t="shared" si="123"/>
        <v>0</v>
      </c>
      <c r="AF134" s="582">
        <f t="shared" si="124"/>
        <v>0</v>
      </c>
    </row>
    <row r="135" spans="2:32" ht="18" customHeight="1">
      <c r="B135" s="220" t="s">
        <v>260</v>
      </c>
      <c r="C135" s="221" t="s">
        <v>57</v>
      </c>
      <c r="D135" s="143">
        <v>1</v>
      </c>
      <c r="E135" s="144">
        <v>189</v>
      </c>
      <c r="F135" s="63" t="s">
        <v>274</v>
      </c>
      <c r="G135" s="63" t="s">
        <v>263</v>
      </c>
      <c r="H135" s="51" t="s">
        <v>76</v>
      </c>
      <c r="I135" s="145">
        <v>39.700000000000003</v>
      </c>
      <c r="J135" s="213">
        <v>15255</v>
      </c>
      <c r="K135" s="146">
        <f t="shared" si="135"/>
        <v>255</v>
      </c>
      <c r="L135" s="147">
        <f t="shared" si="1"/>
        <v>22.033500000000004</v>
      </c>
      <c r="M135" s="147">
        <f t="shared" si="2"/>
        <v>0</v>
      </c>
      <c r="N135" s="147">
        <f t="shared" si="3"/>
        <v>0</v>
      </c>
      <c r="O135" s="147">
        <f t="shared" si="4"/>
        <v>0</v>
      </c>
      <c r="P135" s="148">
        <f t="shared" si="136"/>
        <v>0.55500000000000005</v>
      </c>
      <c r="Q135" s="147">
        <f t="shared" si="137"/>
        <v>0</v>
      </c>
      <c r="R135" s="147">
        <f t="shared" si="138"/>
        <v>0</v>
      </c>
      <c r="S135" s="147">
        <f t="shared" si="139"/>
        <v>0</v>
      </c>
      <c r="T135" s="200" t="str">
        <f t="shared" si="140"/>
        <v>B</v>
      </c>
      <c r="U135" s="214">
        <v>1</v>
      </c>
      <c r="V135" s="214">
        <v>1</v>
      </c>
      <c r="W135" s="214">
        <v>1</v>
      </c>
      <c r="X135" s="214">
        <v>1</v>
      </c>
      <c r="Y135" s="142"/>
      <c r="Z135" s="149">
        <f t="shared" si="121"/>
        <v>10123.5</v>
      </c>
      <c r="AA135" s="150">
        <f t="shared" si="122"/>
        <v>22.033500000000004</v>
      </c>
      <c r="AB135" s="151"/>
      <c r="AE135" s="582">
        <f t="shared" si="123"/>
        <v>0</v>
      </c>
      <c r="AF135" s="582">
        <f t="shared" si="124"/>
        <v>39.700000000000003</v>
      </c>
    </row>
    <row r="136" spans="2:32" ht="18" customHeight="1">
      <c r="B136" s="220" t="s">
        <v>260</v>
      </c>
      <c r="C136" s="221" t="s">
        <v>57</v>
      </c>
      <c r="D136" s="143">
        <v>1</v>
      </c>
      <c r="E136" s="144">
        <v>180</v>
      </c>
      <c r="F136" s="63" t="s">
        <v>383</v>
      </c>
      <c r="G136" s="63" t="s">
        <v>263</v>
      </c>
      <c r="H136" s="51" t="s">
        <v>76</v>
      </c>
      <c r="I136" s="145">
        <v>362</v>
      </c>
      <c r="J136" s="213">
        <v>1104</v>
      </c>
      <c r="K136" s="146">
        <f t="shared" si="135"/>
        <v>104</v>
      </c>
      <c r="L136" s="147">
        <f t="shared" si="1"/>
        <v>95.670211764705883</v>
      </c>
      <c r="M136" s="147">
        <f t="shared" si="2"/>
        <v>0</v>
      </c>
      <c r="N136" s="147">
        <f t="shared" si="3"/>
        <v>0</v>
      </c>
      <c r="O136" s="147">
        <f t="shared" si="4"/>
        <v>0</v>
      </c>
      <c r="P136" s="148">
        <f t="shared" si="136"/>
        <v>0.26428235294117647</v>
      </c>
      <c r="Q136" s="147">
        <f t="shared" si="137"/>
        <v>0</v>
      </c>
      <c r="R136" s="147">
        <f t="shared" si="138"/>
        <v>0</v>
      </c>
      <c r="S136" s="147">
        <f t="shared" si="139"/>
        <v>0</v>
      </c>
      <c r="T136" s="200" t="str">
        <f t="shared" si="140"/>
        <v>B</v>
      </c>
      <c r="U136" s="214">
        <v>1</v>
      </c>
      <c r="V136" s="214">
        <v>1</v>
      </c>
      <c r="W136" s="214">
        <v>1</v>
      </c>
      <c r="X136" s="214">
        <v>1</v>
      </c>
      <c r="Y136" s="142"/>
      <c r="Z136" s="149">
        <f t="shared" si="121"/>
        <v>37648</v>
      </c>
      <c r="AA136" s="150">
        <f t="shared" si="122"/>
        <v>95.670211764705883</v>
      </c>
      <c r="AB136" s="151"/>
      <c r="AE136" s="582">
        <f t="shared" si="123"/>
        <v>0</v>
      </c>
      <c r="AF136" s="582">
        <f t="shared" si="124"/>
        <v>362</v>
      </c>
    </row>
    <row r="137" spans="2:32" ht="18" customHeight="1">
      <c r="B137" s="220" t="s">
        <v>260</v>
      </c>
      <c r="C137" s="221" t="s">
        <v>57</v>
      </c>
      <c r="D137" s="143">
        <v>1</v>
      </c>
      <c r="E137" s="144">
        <v>171</v>
      </c>
      <c r="F137" s="63" t="s">
        <v>416</v>
      </c>
      <c r="G137" s="63" t="s">
        <v>263</v>
      </c>
      <c r="H137" s="51" t="s">
        <v>76</v>
      </c>
      <c r="I137" s="145">
        <v>14.1</v>
      </c>
      <c r="J137" s="213">
        <v>1104</v>
      </c>
      <c r="K137" s="146">
        <f t="shared" si="135"/>
        <v>104</v>
      </c>
      <c r="L137" s="147">
        <f t="shared" si="1"/>
        <v>3.7263811764705883</v>
      </c>
      <c r="M137" s="147">
        <f t="shared" si="2"/>
        <v>0</v>
      </c>
      <c r="N137" s="147">
        <f t="shared" si="3"/>
        <v>0</v>
      </c>
      <c r="O137" s="147">
        <f t="shared" si="4"/>
        <v>0</v>
      </c>
      <c r="P137" s="148">
        <f t="shared" si="136"/>
        <v>0.26428235294117647</v>
      </c>
      <c r="Q137" s="147">
        <f t="shared" si="137"/>
        <v>0</v>
      </c>
      <c r="R137" s="147">
        <f t="shared" si="138"/>
        <v>0</v>
      </c>
      <c r="S137" s="147">
        <f t="shared" si="139"/>
        <v>0</v>
      </c>
      <c r="T137" s="200" t="str">
        <f t="shared" si="140"/>
        <v>B</v>
      </c>
      <c r="U137" s="214">
        <v>1</v>
      </c>
      <c r="V137" s="214">
        <v>1</v>
      </c>
      <c r="W137" s="214">
        <v>1</v>
      </c>
      <c r="X137" s="214">
        <v>1</v>
      </c>
      <c r="Y137" s="142"/>
      <c r="Z137" s="149">
        <f t="shared" si="121"/>
        <v>1466.3999999999999</v>
      </c>
      <c r="AA137" s="150">
        <f t="shared" si="122"/>
        <v>3.7263811764705883</v>
      </c>
      <c r="AB137" s="151"/>
      <c r="AE137" s="582">
        <f t="shared" si="123"/>
        <v>0</v>
      </c>
      <c r="AF137" s="582">
        <f t="shared" si="124"/>
        <v>14.1</v>
      </c>
    </row>
    <row r="138" spans="2:32" ht="18" customHeight="1">
      <c r="B138" s="220" t="s">
        <v>260</v>
      </c>
      <c r="C138" s="221" t="s">
        <v>57</v>
      </c>
      <c r="D138" s="143">
        <v>1</v>
      </c>
      <c r="E138" s="144">
        <v>172</v>
      </c>
      <c r="F138" s="63" t="s">
        <v>262</v>
      </c>
      <c r="G138" s="63" t="s">
        <v>263</v>
      </c>
      <c r="H138" s="51" t="s">
        <v>76</v>
      </c>
      <c r="I138" s="145">
        <v>8.6</v>
      </c>
      <c r="J138" s="213">
        <v>1104</v>
      </c>
      <c r="K138" s="146">
        <f t="shared" si="135"/>
        <v>104</v>
      </c>
      <c r="L138" s="147">
        <f t="shared" si="1"/>
        <v>2.2728282352941176</v>
      </c>
      <c r="M138" s="147">
        <f t="shared" si="2"/>
        <v>0</v>
      </c>
      <c r="N138" s="147">
        <f t="shared" si="3"/>
        <v>0</v>
      </c>
      <c r="O138" s="147">
        <f t="shared" si="4"/>
        <v>0</v>
      </c>
      <c r="P138" s="148">
        <f t="shared" si="136"/>
        <v>0.26428235294117647</v>
      </c>
      <c r="Q138" s="147">
        <f t="shared" si="137"/>
        <v>0</v>
      </c>
      <c r="R138" s="147">
        <f t="shared" si="138"/>
        <v>0</v>
      </c>
      <c r="S138" s="147">
        <f t="shared" si="139"/>
        <v>0</v>
      </c>
      <c r="T138" s="200" t="str">
        <f t="shared" si="140"/>
        <v>B</v>
      </c>
      <c r="U138" s="214">
        <v>1</v>
      </c>
      <c r="V138" s="214">
        <v>1</v>
      </c>
      <c r="W138" s="214">
        <v>1</v>
      </c>
      <c r="X138" s="214">
        <v>1</v>
      </c>
      <c r="Y138" s="142"/>
      <c r="Z138" s="149">
        <f t="shared" si="121"/>
        <v>894.4</v>
      </c>
      <c r="AA138" s="150">
        <f t="shared" si="122"/>
        <v>2.2728282352941176</v>
      </c>
      <c r="AB138" s="151"/>
      <c r="AE138" s="582">
        <f t="shared" si="123"/>
        <v>0</v>
      </c>
      <c r="AF138" s="582">
        <f t="shared" si="124"/>
        <v>8.6</v>
      </c>
    </row>
    <row r="139" spans="2:32" ht="18" customHeight="1">
      <c r="B139" s="220" t="s">
        <v>260</v>
      </c>
      <c r="C139" s="221" t="s">
        <v>57</v>
      </c>
      <c r="D139" s="143">
        <v>1</v>
      </c>
      <c r="E139" s="144">
        <v>173</v>
      </c>
      <c r="F139" s="63" t="s">
        <v>262</v>
      </c>
      <c r="G139" s="63" t="s">
        <v>263</v>
      </c>
      <c r="H139" s="51" t="s">
        <v>76</v>
      </c>
      <c r="I139" s="145">
        <v>8.1999999999999993</v>
      </c>
      <c r="J139" s="213">
        <v>1104</v>
      </c>
      <c r="K139" s="146">
        <f t="shared" si="135"/>
        <v>104</v>
      </c>
      <c r="L139" s="147">
        <f t="shared" si="1"/>
        <v>2.167115294117647</v>
      </c>
      <c r="M139" s="147">
        <f t="shared" si="2"/>
        <v>0</v>
      </c>
      <c r="N139" s="147">
        <f t="shared" si="3"/>
        <v>0</v>
      </c>
      <c r="O139" s="147">
        <f t="shared" si="4"/>
        <v>0</v>
      </c>
      <c r="P139" s="148">
        <f t="shared" si="136"/>
        <v>0.26428235294117647</v>
      </c>
      <c r="Q139" s="147">
        <f t="shared" si="137"/>
        <v>0</v>
      </c>
      <c r="R139" s="147">
        <f t="shared" si="138"/>
        <v>0</v>
      </c>
      <c r="S139" s="147">
        <f t="shared" si="139"/>
        <v>0</v>
      </c>
      <c r="T139" s="200" t="str">
        <f t="shared" si="140"/>
        <v>B</v>
      </c>
      <c r="U139" s="214">
        <v>1</v>
      </c>
      <c r="V139" s="214">
        <v>1</v>
      </c>
      <c r="W139" s="214">
        <v>1</v>
      </c>
      <c r="X139" s="214">
        <v>1</v>
      </c>
      <c r="Y139" s="142"/>
      <c r="Z139" s="149">
        <f t="shared" si="121"/>
        <v>852.8</v>
      </c>
      <c r="AA139" s="150">
        <f t="shared" si="122"/>
        <v>2.167115294117647</v>
      </c>
      <c r="AB139" s="151"/>
      <c r="AE139" s="582">
        <f t="shared" si="123"/>
        <v>0</v>
      </c>
      <c r="AF139" s="582">
        <f t="shared" si="124"/>
        <v>8.1999999999999993</v>
      </c>
    </row>
    <row r="140" spans="2:32" ht="18" customHeight="1">
      <c r="B140" s="220" t="s">
        <v>260</v>
      </c>
      <c r="C140" s="221" t="s">
        <v>57</v>
      </c>
      <c r="D140" s="143">
        <v>1</v>
      </c>
      <c r="E140" s="144">
        <v>174</v>
      </c>
      <c r="F140" s="63" t="s">
        <v>385</v>
      </c>
      <c r="G140" s="63" t="s">
        <v>271</v>
      </c>
      <c r="H140" s="51" t="s">
        <v>371</v>
      </c>
      <c r="I140" s="145">
        <v>42.2</v>
      </c>
      <c r="J140" s="213">
        <v>6255</v>
      </c>
      <c r="K140" s="146">
        <f t="shared" si="135"/>
        <v>255</v>
      </c>
      <c r="L140" s="147">
        <f t="shared" si="1"/>
        <v>47.432800000000007</v>
      </c>
      <c r="M140" s="147">
        <f t="shared" si="2"/>
        <v>0</v>
      </c>
      <c r="N140" s="147">
        <f t="shared" si="3"/>
        <v>0</v>
      </c>
      <c r="O140" s="147">
        <f t="shared" si="4"/>
        <v>0</v>
      </c>
      <c r="P140" s="148">
        <f t="shared" si="136"/>
        <v>1.1240000000000001</v>
      </c>
      <c r="Q140" s="147">
        <f t="shared" si="137"/>
        <v>0</v>
      </c>
      <c r="R140" s="147">
        <f t="shared" si="138"/>
        <v>0</v>
      </c>
      <c r="S140" s="147">
        <f t="shared" si="139"/>
        <v>0</v>
      </c>
      <c r="T140" s="200" t="str">
        <f t="shared" si="140"/>
        <v>V</v>
      </c>
      <c r="U140" s="214">
        <v>1</v>
      </c>
      <c r="V140" s="214">
        <v>1</v>
      </c>
      <c r="W140" s="214">
        <v>1</v>
      </c>
      <c r="X140" s="214">
        <v>1</v>
      </c>
      <c r="Y140" s="142"/>
      <c r="Z140" s="149">
        <f t="shared" si="121"/>
        <v>10761</v>
      </c>
      <c r="AA140" s="150">
        <f t="shared" si="122"/>
        <v>47.432800000000007</v>
      </c>
      <c r="AB140" s="151"/>
      <c r="AE140" s="582">
        <f t="shared" si="123"/>
        <v>0</v>
      </c>
      <c r="AF140" s="582">
        <f t="shared" si="124"/>
        <v>0</v>
      </c>
    </row>
    <row r="141" spans="2:32" ht="18" customHeight="1">
      <c r="B141" s="220" t="s">
        <v>260</v>
      </c>
      <c r="C141" s="221" t="s">
        <v>57</v>
      </c>
      <c r="D141" s="143">
        <v>1</v>
      </c>
      <c r="E141" s="144">
        <v>175</v>
      </c>
      <c r="F141" s="63" t="s">
        <v>274</v>
      </c>
      <c r="G141" s="63" t="s">
        <v>263</v>
      </c>
      <c r="H141" s="51" t="s">
        <v>76</v>
      </c>
      <c r="I141" s="145">
        <v>20.2</v>
      </c>
      <c r="J141" s="213">
        <v>15255</v>
      </c>
      <c r="K141" s="146">
        <f t="shared" si="135"/>
        <v>255</v>
      </c>
      <c r="L141" s="147">
        <f t="shared" si="1"/>
        <v>11.211</v>
      </c>
      <c r="M141" s="147">
        <f t="shared" si="2"/>
        <v>0</v>
      </c>
      <c r="N141" s="147">
        <f t="shared" si="3"/>
        <v>0</v>
      </c>
      <c r="O141" s="147">
        <f t="shared" si="4"/>
        <v>0</v>
      </c>
      <c r="P141" s="148">
        <f t="shared" si="136"/>
        <v>0.55500000000000005</v>
      </c>
      <c r="Q141" s="147">
        <f t="shared" si="137"/>
        <v>0</v>
      </c>
      <c r="R141" s="147">
        <f t="shared" si="138"/>
        <v>0</v>
      </c>
      <c r="S141" s="147">
        <f t="shared" si="139"/>
        <v>0</v>
      </c>
      <c r="T141" s="200" t="str">
        <f t="shared" si="140"/>
        <v>B</v>
      </c>
      <c r="U141" s="214">
        <v>1</v>
      </c>
      <c r="V141" s="214">
        <v>1</v>
      </c>
      <c r="W141" s="214">
        <v>1</v>
      </c>
      <c r="X141" s="214">
        <v>1</v>
      </c>
      <c r="Y141" s="142"/>
      <c r="Z141" s="149">
        <f t="shared" si="121"/>
        <v>5151</v>
      </c>
      <c r="AA141" s="150">
        <f t="shared" si="122"/>
        <v>11.211</v>
      </c>
      <c r="AB141" s="151"/>
      <c r="AE141" s="582">
        <f t="shared" si="123"/>
        <v>0</v>
      </c>
      <c r="AF141" s="582">
        <f t="shared" si="124"/>
        <v>20.2</v>
      </c>
    </row>
    <row r="142" spans="2:32" ht="18" customHeight="1">
      <c r="B142" s="220" t="s">
        <v>260</v>
      </c>
      <c r="C142" s="221" t="s">
        <v>57</v>
      </c>
      <c r="D142" s="143">
        <v>1</v>
      </c>
      <c r="E142" s="144">
        <v>182</v>
      </c>
      <c r="F142" s="63" t="s">
        <v>281</v>
      </c>
      <c r="G142" s="63" t="s">
        <v>271</v>
      </c>
      <c r="H142" s="51" t="s">
        <v>76</v>
      </c>
      <c r="I142" s="145">
        <v>18</v>
      </c>
      <c r="J142" s="213">
        <v>5255</v>
      </c>
      <c r="K142" s="146">
        <f t="shared" ref="K142" si="277">SUM(IF(J142="",0,VLOOKUP(J142,Kengetal,2)))</f>
        <v>255</v>
      </c>
      <c r="L142" s="147">
        <f t="shared" ref="L142" si="278">P142*I142*U142</f>
        <v>14.094000000000001</v>
      </c>
      <c r="M142" s="147">
        <f t="shared" ref="M142" si="279">Q142*I142*V142</f>
        <v>0</v>
      </c>
      <c r="N142" s="147">
        <f t="shared" ref="N142" si="280">R142*I142*W142</f>
        <v>0</v>
      </c>
      <c r="O142" s="147">
        <f t="shared" ref="O142" si="281">S142*I142*X142</f>
        <v>0</v>
      </c>
      <c r="P142" s="148">
        <f t="shared" si="136"/>
        <v>0.78300000000000003</v>
      </c>
      <c r="Q142" s="147">
        <f t="shared" si="137"/>
        <v>0</v>
      </c>
      <c r="R142" s="147">
        <f t="shared" si="138"/>
        <v>0</v>
      </c>
      <c r="S142" s="147">
        <f t="shared" si="139"/>
        <v>0</v>
      </c>
      <c r="T142" s="200" t="str">
        <f t="shared" ref="T142" si="282">IF(J142="","",VLOOKUP(J142,Kengetal,13,FALSE))</f>
        <v>V</v>
      </c>
      <c r="U142" s="214">
        <v>1</v>
      </c>
      <c r="V142" s="214">
        <v>1</v>
      </c>
      <c r="W142" s="214">
        <v>1</v>
      </c>
      <c r="X142" s="214">
        <v>1</v>
      </c>
      <c r="Y142" s="142"/>
      <c r="Z142" s="149">
        <f t="shared" ref="Z142" si="283">I142*K142</f>
        <v>4590</v>
      </c>
      <c r="AA142" s="150">
        <f t="shared" ref="AA142" si="284">L142+M142+N142+O142</f>
        <v>14.094000000000001</v>
      </c>
      <c r="AB142" s="151"/>
      <c r="AE142" s="582">
        <f t="shared" ref="AE142" si="285">SUMIF(H142,"Linoleum",I142)</f>
        <v>0</v>
      </c>
      <c r="AF142" s="582">
        <f t="shared" ref="AF142" si="286">SUMIF(H142,"Tapijt",I142)</f>
        <v>18</v>
      </c>
    </row>
    <row r="143" spans="2:32" ht="18" customHeight="1">
      <c r="B143" s="220" t="s">
        <v>260</v>
      </c>
      <c r="C143" s="221" t="s">
        <v>57</v>
      </c>
      <c r="D143" s="143">
        <v>1</v>
      </c>
      <c r="E143" s="144">
        <v>181</v>
      </c>
      <c r="F143" s="63" t="s">
        <v>262</v>
      </c>
      <c r="G143" s="63" t="s">
        <v>263</v>
      </c>
      <c r="H143" s="51" t="s">
        <v>76</v>
      </c>
      <c r="I143" s="145">
        <v>3.5</v>
      </c>
      <c r="J143" s="213">
        <v>1104</v>
      </c>
      <c r="K143" s="146">
        <f t="shared" si="135"/>
        <v>104</v>
      </c>
      <c r="L143" s="147">
        <f t="shared" si="1"/>
        <v>0.92498823529411767</v>
      </c>
      <c r="M143" s="147">
        <f t="shared" si="2"/>
        <v>0</v>
      </c>
      <c r="N143" s="147">
        <f t="shared" si="3"/>
        <v>0</v>
      </c>
      <c r="O143" s="147">
        <f t="shared" si="4"/>
        <v>0</v>
      </c>
      <c r="P143" s="148">
        <f t="shared" si="136"/>
        <v>0.26428235294117647</v>
      </c>
      <c r="Q143" s="147">
        <f t="shared" si="137"/>
        <v>0</v>
      </c>
      <c r="R143" s="147">
        <f t="shared" si="138"/>
        <v>0</v>
      </c>
      <c r="S143" s="147">
        <f t="shared" si="139"/>
        <v>0</v>
      </c>
      <c r="T143" s="200" t="str">
        <f t="shared" si="140"/>
        <v>B</v>
      </c>
      <c r="U143" s="214">
        <v>1</v>
      </c>
      <c r="V143" s="214">
        <v>1</v>
      </c>
      <c r="W143" s="214">
        <v>1</v>
      </c>
      <c r="X143" s="214">
        <v>1</v>
      </c>
      <c r="Y143" s="142"/>
      <c r="Z143" s="149">
        <f t="shared" si="121"/>
        <v>364</v>
      </c>
      <c r="AA143" s="150">
        <f t="shared" si="122"/>
        <v>0.92498823529411767</v>
      </c>
      <c r="AB143" s="151"/>
      <c r="AE143" s="582">
        <f t="shared" si="123"/>
        <v>0</v>
      </c>
      <c r="AF143" s="582">
        <f t="shared" si="124"/>
        <v>3.5</v>
      </c>
    </row>
    <row r="144" spans="2:32" ht="18" customHeight="1">
      <c r="B144" s="220" t="s">
        <v>260</v>
      </c>
      <c r="C144" s="221" t="s">
        <v>57</v>
      </c>
      <c r="D144" s="143">
        <v>1</v>
      </c>
      <c r="E144" s="144">
        <v>183</v>
      </c>
      <c r="F144" s="63" t="s">
        <v>262</v>
      </c>
      <c r="G144" s="63" t="s">
        <v>263</v>
      </c>
      <c r="H144" s="51" t="s">
        <v>76</v>
      </c>
      <c r="I144" s="145">
        <v>3.4</v>
      </c>
      <c r="J144" s="213">
        <v>1104</v>
      </c>
      <c r="K144" s="146">
        <f t="shared" si="135"/>
        <v>104</v>
      </c>
      <c r="L144" s="147">
        <f t="shared" si="1"/>
        <v>0.89855999999999991</v>
      </c>
      <c r="M144" s="147">
        <f t="shared" si="2"/>
        <v>0</v>
      </c>
      <c r="N144" s="147">
        <f t="shared" si="3"/>
        <v>0</v>
      </c>
      <c r="O144" s="147">
        <f t="shared" si="4"/>
        <v>0</v>
      </c>
      <c r="P144" s="148">
        <f t="shared" si="136"/>
        <v>0.26428235294117647</v>
      </c>
      <c r="Q144" s="147">
        <f t="shared" si="137"/>
        <v>0</v>
      </c>
      <c r="R144" s="147">
        <f t="shared" si="138"/>
        <v>0</v>
      </c>
      <c r="S144" s="147">
        <f t="shared" si="139"/>
        <v>0</v>
      </c>
      <c r="T144" s="200" t="str">
        <f t="shared" si="140"/>
        <v>B</v>
      </c>
      <c r="U144" s="214">
        <v>1</v>
      </c>
      <c r="V144" s="214">
        <v>1</v>
      </c>
      <c r="W144" s="214">
        <v>1</v>
      </c>
      <c r="X144" s="214">
        <v>1</v>
      </c>
      <c r="Y144" s="142"/>
      <c r="Z144" s="149">
        <f t="shared" si="121"/>
        <v>353.59999999999997</v>
      </c>
      <c r="AA144" s="150">
        <f t="shared" si="122"/>
        <v>0.89855999999999991</v>
      </c>
      <c r="AB144" s="151"/>
      <c r="AE144" s="582">
        <f t="shared" si="123"/>
        <v>0</v>
      </c>
      <c r="AF144" s="582">
        <f t="shared" si="124"/>
        <v>3.4</v>
      </c>
    </row>
    <row r="145" spans="2:32" ht="18" customHeight="1">
      <c r="B145" s="220" t="s">
        <v>260</v>
      </c>
      <c r="C145" s="221" t="s">
        <v>57</v>
      </c>
      <c r="D145" s="143">
        <v>1</v>
      </c>
      <c r="E145" s="144">
        <v>184</v>
      </c>
      <c r="F145" s="63" t="s">
        <v>262</v>
      </c>
      <c r="G145" s="63" t="s">
        <v>263</v>
      </c>
      <c r="H145" s="51" t="s">
        <v>76</v>
      </c>
      <c r="I145" s="145">
        <v>3.6</v>
      </c>
      <c r="J145" s="213">
        <v>1104</v>
      </c>
      <c r="K145" s="146">
        <f t="shared" si="135"/>
        <v>104</v>
      </c>
      <c r="L145" s="147">
        <f t="shared" si="1"/>
        <v>0.95141647058823531</v>
      </c>
      <c r="M145" s="147">
        <f t="shared" si="2"/>
        <v>0</v>
      </c>
      <c r="N145" s="147">
        <f t="shared" si="3"/>
        <v>0</v>
      </c>
      <c r="O145" s="147">
        <f t="shared" si="4"/>
        <v>0</v>
      </c>
      <c r="P145" s="148">
        <f t="shared" si="136"/>
        <v>0.26428235294117647</v>
      </c>
      <c r="Q145" s="147">
        <f t="shared" si="137"/>
        <v>0</v>
      </c>
      <c r="R145" s="147">
        <f t="shared" si="138"/>
        <v>0</v>
      </c>
      <c r="S145" s="147">
        <f t="shared" si="139"/>
        <v>0</v>
      </c>
      <c r="T145" s="200" t="str">
        <f t="shared" si="140"/>
        <v>B</v>
      </c>
      <c r="U145" s="214">
        <v>1</v>
      </c>
      <c r="V145" s="214">
        <v>1</v>
      </c>
      <c r="W145" s="214">
        <v>1</v>
      </c>
      <c r="X145" s="214">
        <v>1</v>
      </c>
      <c r="Y145" s="142"/>
      <c r="Z145" s="149">
        <f t="shared" si="121"/>
        <v>374.40000000000003</v>
      </c>
      <c r="AA145" s="150">
        <f t="shared" si="122"/>
        <v>0.95141647058823531</v>
      </c>
      <c r="AB145" s="151"/>
      <c r="AE145" s="582">
        <f t="shared" si="123"/>
        <v>0</v>
      </c>
      <c r="AF145" s="582">
        <f t="shared" si="124"/>
        <v>3.6</v>
      </c>
    </row>
    <row r="146" spans="2:32" ht="18" customHeight="1">
      <c r="B146" s="220" t="s">
        <v>260</v>
      </c>
      <c r="C146" s="221" t="s">
        <v>57</v>
      </c>
      <c r="D146" s="143">
        <v>1</v>
      </c>
      <c r="E146" s="144">
        <v>185</v>
      </c>
      <c r="F146" s="63" t="s">
        <v>262</v>
      </c>
      <c r="G146" s="63" t="s">
        <v>263</v>
      </c>
      <c r="H146" s="51" t="s">
        <v>76</v>
      </c>
      <c r="I146" s="145">
        <v>5.7</v>
      </c>
      <c r="J146" s="213">
        <v>1104</v>
      </c>
      <c r="K146" s="146">
        <f t="shared" si="135"/>
        <v>104</v>
      </c>
      <c r="L146" s="147">
        <f t="shared" si="1"/>
        <v>1.506409411764706</v>
      </c>
      <c r="M146" s="147">
        <f t="shared" si="2"/>
        <v>0</v>
      </c>
      <c r="N146" s="147">
        <f t="shared" si="3"/>
        <v>0</v>
      </c>
      <c r="O146" s="147">
        <f t="shared" si="4"/>
        <v>0</v>
      </c>
      <c r="P146" s="148">
        <f t="shared" si="136"/>
        <v>0.26428235294117647</v>
      </c>
      <c r="Q146" s="147">
        <f t="shared" si="137"/>
        <v>0</v>
      </c>
      <c r="R146" s="147">
        <f t="shared" si="138"/>
        <v>0</v>
      </c>
      <c r="S146" s="147">
        <f t="shared" si="139"/>
        <v>0</v>
      </c>
      <c r="T146" s="200" t="str">
        <f t="shared" si="140"/>
        <v>B</v>
      </c>
      <c r="U146" s="214">
        <v>1</v>
      </c>
      <c r="V146" s="214">
        <v>1</v>
      </c>
      <c r="W146" s="214">
        <v>1</v>
      </c>
      <c r="X146" s="214">
        <v>1</v>
      </c>
      <c r="Y146" s="142"/>
      <c r="Z146" s="149">
        <f t="shared" si="121"/>
        <v>592.80000000000007</v>
      </c>
      <c r="AA146" s="150">
        <f t="shared" si="122"/>
        <v>1.506409411764706</v>
      </c>
      <c r="AB146" s="151"/>
      <c r="AE146" s="582">
        <f t="shared" si="123"/>
        <v>0</v>
      </c>
      <c r="AF146" s="582">
        <f t="shared" si="124"/>
        <v>5.7</v>
      </c>
    </row>
    <row r="147" spans="2:32" ht="18" customHeight="1">
      <c r="B147" s="220" t="s">
        <v>260</v>
      </c>
      <c r="C147" s="221" t="s">
        <v>57</v>
      </c>
      <c r="D147" s="143">
        <v>1</v>
      </c>
      <c r="E147" s="144">
        <v>190</v>
      </c>
      <c r="F147" s="63" t="s">
        <v>262</v>
      </c>
      <c r="G147" s="63" t="s">
        <v>263</v>
      </c>
      <c r="H147" s="51" t="s">
        <v>76</v>
      </c>
      <c r="I147" s="145">
        <v>11.8</v>
      </c>
      <c r="J147" s="213">
        <v>1104</v>
      </c>
      <c r="K147" s="146">
        <f t="shared" si="135"/>
        <v>104</v>
      </c>
      <c r="L147" s="147">
        <f t="shared" si="1"/>
        <v>3.1185317647058826</v>
      </c>
      <c r="M147" s="147">
        <f t="shared" si="2"/>
        <v>0</v>
      </c>
      <c r="N147" s="147">
        <f t="shared" si="3"/>
        <v>0</v>
      </c>
      <c r="O147" s="147">
        <f t="shared" si="4"/>
        <v>0</v>
      </c>
      <c r="P147" s="148">
        <f t="shared" si="136"/>
        <v>0.26428235294117647</v>
      </c>
      <c r="Q147" s="147">
        <f t="shared" si="137"/>
        <v>0</v>
      </c>
      <c r="R147" s="147">
        <f t="shared" si="138"/>
        <v>0</v>
      </c>
      <c r="S147" s="147">
        <f t="shared" si="139"/>
        <v>0</v>
      </c>
      <c r="T147" s="200" t="str">
        <f t="shared" si="140"/>
        <v>B</v>
      </c>
      <c r="U147" s="214">
        <v>1</v>
      </c>
      <c r="V147" s="214">
        <v>1</v>
      </c>
      <c r="W147" s="214">
        <v>1</v>
      </c>
      <c r="X147" s="214">
        <v>1</v>
      </c>
      <c r="Y147" s="142"/>
      <c r="Z147" s="149">
        <f t="shared" si="121"/>
        <v>1227.2</v>
      </c>
      <c r="AA147" s="150">
        <f t="shared" si="122"/>
        <v>3.1185317647058826</v>
      </c>
      <c r="AB147" s="151"/>
      <c r="AE147" s="582">
        <f t="shared" si="123"/>
        <v>0</v>
      </c>
      <c r="AF147" s="582">
        <f t="shared" si="124"/>
        <v>11.8</v>
      </c>
    </row>
    <row r="148" spans="2:32" ht="18" customHeight="1">
      <c r="B148" s="220" t="s">
        <v>260</v>
      </c>
      <c r="C148" s="221" t="s">
        <v>57</v>
      </c>
      <c r="D148" s="143">
        <v>1</v>
      </c>
      <c r="E148" s="144">
        <v>191</v>
      </c>
      <c r="F148" s="63" t="s">
        <v>262</v>
      </c>
      <c r="G148" s="63" t="s">
        <v>263</v>
      </c>
      <c r="H148" s="51" t="s">
        <v>76</v>
      </c>
      <c r="I148" s="145">
        <v>6.2</v>
      </c>
      <c r="J148" s="213">
        <v>1104</v>
      </c>
      <c r="K148" s="146">
        <f t="shared" ref="K148" si="287">SUM(IF(J148="",0,VLOOKUP(J148,Kengetal,2)))</f>
        <v>104</v>
      </c>
      <c r="L148" s="147">
        <f t="shared" ref="L148" si="288">P148*I148*U148</f>
        <v>1.6385505882352942</v>
      </c>
      <c r="M148" s="147">
        <f t="shared" ref="M148" si="289">Q148*I148*V148</f>
        <v>0</v>
      </c>
      <c r="N148" s="147">
        <f t="shared" ref="N148" si="290">R148*I148*W148</f>
        <v>0</v>
      </c>
      <c r="O148" s="147">
        <f t="shared" ref="O148" si="291">S148*I148*X148</f>
        <v>0</v>
      </c>
      <c r="P148" s="148">
        <f t="shared" si="136"/>
        <v>0.26428235294117647</v>
      </c>
      <c r="Q148" s="147">
        <f t="shared" si="137"/>
        <v>0</v>
      </c>
      <c r="R148" s="147">
        <f t="shared" si="138"/>
        <v>0</v>
      </c>
      <c r="S148" s="147">
        <f t="shared" si="139"/>
        <v>0</v>
      </c>
      <c r="T148" s="200" t="str">
        <f t="shared" ref="T148" si="292">IF(J148="","",VLOOKUP(J148,Kengetal,13,FALSE))</f>
        <v>B</v>
      </c>
      <c r="U148" s="214">
        <v>1</v>
      </c>
      <c r="V148" s="214">
        <v>1</v>
      </c>
      <c r="W148" s="214">
        <v>1</v>
      </c>
      <c r="X148" s="214">
        <v>1</v>
      </c>
      <c r="Y148" s="142"/>
      <c r="Z148" s="149">
        <f t="shared" ref="Z148" si="293">I148*K148</f>
        <v>644.80000000000007</v>
      </c>
      <c r="AA148" s="150">
        <f t="shared" ref="AA148" si="294">L148+M148+N148+O148</f>
        <v>1.6385505882352942</v>
      </c>
      <c r="AB148" s="151"/>
      <c r="AE148" s="582">
        <f t="shared" ref="AE148" si="295">SUMIF(H148,"Linoleum",I148)</f>
        <v>0</v>
      </c>
      <c r="AF148" s="582">
        <f t="shared" ref="AF148" si="296">SUMIF(H148,"Tapijt",I148)</f>
        <v>6.2</v>
      </c>
    </row>
    <row r="149" spans="2:32" ht="18" customHeight="1">
      <c r="B149" s="220" t="s">
        <v>260</v>
      </c>
      <c r="C149" s="221" t="s">
        <v>57</v>
      </c>
      <c r="D149" s="143">
        <v>1</v>
      </c>
      <c r="E149" s="144">
        <v>192</v>
      </c>
      <c r="F149" s="63" t="s">
        <v>262</v>
      </c>
      <c r="G149" s="63" t="s">
        <v>263</v>
      </c>
      <c r="H149" s="51" t="s">
        <v>76</v>
      </c>
      <c r="I149" s="145">
        <v>6.6</v>
      </c>
      <c r="J149" s="213">
        <v>1104</v>
      </c>
      <c r="K149" s="146">
        <f t="shared" ref="K149" si="297">SUM(IF(J149="",0,VLOOKUP(J149,Kengetal,2)))</f>
        <v>104</v>
      </c>
      <c r="L149" s="147">
        <f t="shared" ref="L149" si="298">P149*I149*U149</f>
        <v>1.7442635294117645</v>
      </c>
      <c r="M149" s="147">
        <f t="shared" ref="M149" si="299">Q149*I149*V149</f>
        <v>0</v>
      </c>
      <c r="N149" s="147">
        <f t="shared" ref="N149" si="300">R149*I149*W149</f>
        <v>0</v>
      </c>
      <c r="O149" s="147">
        <f t="shared" ref="O149" si="301">S149*I149*X149</f>
        <v>0</v>
      </c>
      <c r="P149" s="148">
        <f t="shared" si="136"/>
        <v>0.26428235294117647</v>
      </c>
      <c r="Q149" s="147">
        <f t="shared" si="137"/>
        <v>0</v>
      </c>
      <c r="R149" s="147">
        <f t="shared" si="138"/>
        <v>0</v>
      </c>
      <c r="S149" s="147">
        <f t="shared" si="139"/>
        <v>0</v>
      </c>
      <c r="T149" s="200" t="str">
        <f t="shared" ref="T149" si="302">IF(J149="","",VLOOKUP(J149,Kengetal,13,FALSE))</f>
        <v>B</v>
      </c>
      <c r="U149" s="214">
        <v>1</v>
      </c>
      <c r="V149" s="214">
        <v>1</v>
      </c>
      <c r="W149" s="214">
        <v>1</v>
      </c>
      <c r="X149" s="214">
        <v>1</v>
      </c>
      <c r="Y149" s="142"/>
      <c r="Z149" s="149">
        <f t="shared" ref="Z149" si="303">I149*K149</f>
        <v>686.4</v>
      </c>
      <c r="AA149" s="150">
        <f t="shared" ref="AA149" si="304">L149+M149+N149+O149</f>
        <v>1.7442635294117645</v>
      </c>
      <c r="AB149" s="151"/>
      <c r="AE149" s="582">
        <f t="shared" ref="AE149" si="305">SUMIF(H149,"Linoleum",I149)</f>
        <v>0</v>
      </c>
      <c r="AF149" s="582">
        <f t="shared" ref="AF149" si="306">SUMIF(H149,"Tapijt",I149)</f>
        <v>6.6</v>
      </c>
    </row>
    <row r="150" spans="2:32" ht="18" customHeight="1">
      <c r="B150" s="220" t="s">
        <v>260</v>
      </c>
      <c r="C150" s="221" t="s">
        <v>57</v>
      </c>
      <c r="D150" s="143">
        <v>1</v>
      </c>
      <c r="E150" s="144">
        <v>161</v>
      </c>
      <c r="F150" s="63" t="s">
        <v>262</v>
      </c>
      <c r="G150" s="63" t="s">
        <v>263</v>
      </c>
      <c r="H150" s="51" t="s">
        <v>401</v>
      </c>
      <c r="I150" s="145">
        <v>19.899999999999999</v>
      </c>
      <c r="J150" s="213">
        <v>1104</v>
      </c>
      <c r="K150" s="146">
        <f t="shared" si="135"/>
        <v>104</v>
      </c>
      <c r="L150" s="147">
        <f t="shared" si="1"/>
        <v>5.2592188235294115</v>
      </c>
      <c r="M150" s="147">
        <f t="shared" si="2"/>
        <v>0</v>
      </c>
      <c r="N150" s="147">
        <f t="shared" si="3"/>
        <v>0</v>
      </c>
      <c r="O150" s="147">
        <f t="shared" si="4"/>
        <v>0</v>
      </c>
      <c r="P150" s="148">
        <f t="shared" si="136"/>
        <v>0.26428235294117647</v>
      </c>
      <c r="Q150" s="147">
        <f t="shared" si="137"/>
        <v>0</v>
      </c>
      <c r="R150" s="147">
        <f t="shared" si="138"/>
        <v>0</v>
      </c>
      <c r="S150" s="147">
        <f t="shared" si="139"/>
        <v>0</v>
      </c>
      <c r="T150" s="200" t="str">
        <f t="shared" si="140"/>
        <v>B</v>
      </c>
      <c r="U150" s="214">
        <v>1</v>
      </c>
      <c r="V150" s="214">
        <v>1</v>
      </c>
      <c r="W150" s="214">
        <v>1</v>
      </c>
      <c r="X150" s="214">
        <v>1</v>
      </c>
      <c r="Y150" s="142"/>
      <c r="Z150" s="149">
        <f t="shared" si="121"/>
        <v>2069.6</v>
      </c>
      <c r="AA150" s="150">
        <f t="shared" si="122"/>
        <v>5.2592188235294115</v>
      </c>
      <c r="AB150" s="151"/>
      <c r="AE150" s="582">
        <f t="shared" si="123"/>
        <v>0</v>
      </c>
      <c r="AF150" s="582">
        <f t="shared" si="124"/>
        <v>0</v>
      </c>
    </row>
    <row r="151" spans="2:32" ht="18" customHeight="1">
      <c r="B151" s="220" t="s">
        <v>260</v>
      </c>
      <c r="C151" s="221" t="s">
        <v>57</v>
      </c>
      <c r="D151" s="143">
        <v>1</v>
      </c>
      <c r="E151" s="144" t="s">
        <v>417</v>
      </c>
      <c r="F151" s="63" t="s">
        <v>353</v>
      </c>
      <c r="G151" s="63" t="s">
        <v>271</v>
      </c>
      <c r="H151" s="51" t="s">
        <v>418</v>
      </c>
      <c r="I151" s="145">
        <v>8.4</v>
      </c>
      <c r="J151" s="213">
        <v>3255</v>
      </c>
      <c r="K151" s="146">
        <f t="shared" ref="K151" si="307">SUM(IF(J151="",0,VLOOKUP(J151,Kengetal,2)))</f>
        <v>255</v>
      </c>
      <c r="L151" s="147">
        <f t="shared" ref="L151" si="308">P151*I151*U151</f>
        <v>3.1415999999999999</v>
      </c>
      <c r="M151" s="147">
        <f t="shared" ref="M151" si="309">Q151*I151*V151</f>
        <v>0</v>
      </c>
      <c r="N151" s="147">
        <f t="shared" ref="N151" si="310">R151*I151*W151</f>
        <v>0</v>
      </c>
      <c r="O151" s="147">
        <f t="shared" ref="O151" si="311">S151*I151*X151</f>
        <v>0</v>
      </c>
      <c r="P151" s="148">
        <f t="shared" si="136"/>
        <v>0.374</v>
      </c>
      <c r="Q151" s="147">
        <f t="shared" si="137"/>
        <v>0</v>
      </c>
      <c r="R151" s="147">
        <f t="shared" si="138"/>
        <v>0</v>
      </c>
      <c r="S151" s="147">
        <f t="shared" si="139"/>
        <v>0</v>
      </c>
      <c r="T151" s="200" t="str">
        <f t="shared" ref="T151" si="312">IF(J151="","",VLOOKUP(J151,Kengetal,13,FALSE))</f>
        <v>V</v>
      </c>
      <c r="U151" s="214">
        <v>1</v>
      </c>
      <c r="V151" s="214">
        <v>1</v>
      </c>
      <c r="W151" s="214">
        <v>1</v>
      </c>
      <c r="X151" s="214">
        <v>1</v>
      </c>
      <c r="Y151" s="142"/>
      <c r="Z151" s="149">
        <f t="shared" si="121"/>
        <v>2142</v>
      </c>
      <c r="AA151" s="150">
        <f t="shared" si="122"/>
        <v>3.1415999999999999</v>
      </c>
      <c r="AB151" s="151"/>
      <c r="AE151" s="582">
        <f t="shared" si="123"/>
        <v>8.4</v>
      </c>
      <c r="AF151" s="582">
        <f t="shared" si="124"/>
        <v>0</v>
      </c>
    </row>
    <row r="152" spans="2:32" ht="18" customHeight="1">
      <c r="B152" s="220" t="s">
        <v>260</v>
      </c>
      <c r="C152" s="221" t="s">
        <v>57</v>
      </c>
      <c r="D152" s="143">
        <v>1</v>
      </c>
      <c r="E152" s="144">
        <v>151</v>
      </c>
      <c r="F152" s="63" t="s">
        <v>262</v>
      </c>
      <c r="G152" s="63" t="s">
        <v>263</v>
      </c>
      <c r="H152" s="51" t="s">
        <v>296</v>
      </c>
      <c r="I152" s="145">
        <v>16.7</v>
      </c>
      <c r="J152" s="213">
        <v>1104</v>
      </c>
      <c r="K152" s="146">
        <f t="shared" si="135"/>
        <v>104</v>
      </c>
      <c r="L152" s="147">
        <f t="shared" si="1"/>
        <v>4.413515294117647</v>
      </c>
      <c r="M152" s="147">
        <f t="shared" si="2"/>
        <v>0</v>
      </c>
      <c r="N152" s="147">
        <f t="shared" si="3"/>
        <v>0</v>
      </c>
      <c r="O152" s="147">
        <f t="shared" si="4"/>
        <v>0</v>
      </c>
      <c r="P152" s="148">
        <f t="shared" si="136"/>
        <v>0.26428235294117647</v>
      </c>
      <c r="Q152" s="147">
        <f t="shared" si="137"/>
        <v>0</v>
      </c>
      <c r="R152" s="147">
        <f t="shared" si="138"/>
        <v>0</v>
      </c>
      <c r="S152" s="147">
        <f t="shared" si="139"/>
        <v>0</v>
      </c>
      <c r="T152" s="200" t="str">
        <f t="shared" si="140"/>
        <v>B</v>
      </c>
      <c r="U152" s="214">
        <v>1</v>
      </c>
      <c r="V152" s="214">
        <v>1</v>
      </c>
      <c r="W152" s="214">
        <v>1</v>
      </c>
      <c r="X152" s="214">
        <v>1</v>
      </c>
      <c r="Y152" s="142"/>
      <c r="Z152" s="149">
        <f t="shared" si="121"/>
        <v>1736.8</v>
      </c>
      <c r="AA152" s="150">
        <f t="shared" si="122"/>
        <v>4.413515294117647</v>
      </c>
      <c r="AB152" s="151"/>
      <c r="AE152" s="582">
        <f t="shared" si="123"/>
        <v>0</v>
      </c>
      <c r="AF152" s="582">
        <f t="shared" si="124"/>
        <v>0</v>
      </c>
    </row>
    <row r="153" spans="2:32" ht="18" customHeight="1">
      <c r="B153" s="220" t="s">
        <v>260</v>
      </c>
      <c r="C153" s="221" t="s">
        <v>57</v>
      </c>
      <c r="D153" s="143">
        <v>1</v>
      </c>
      <c r="E153" s="144">
        <v>141</v>
      </c>
      <c r="F153" s="63" t="s">
        <v>262</v>
      </c>
      <c r="G153" s="63" t="s">
        <v>263</v>
      </c>
      <c r="H153" s="51" t="s">
        <v>296</v>
      </c>
      <c r="I153" s="145">
        <v>17.5</v>
      </c>
      <c r="J153" s="213">
        <v>1104</v>
      </c>
      <c r="K153" s="146">
        <f t="shared" si="135"/>
        <v>104</v>
      </c>
      <c r="L153" s="147">
        <f t="shared" si="1"/>
        <v>4.6249411764705881</v>
      </c>
      <c r="M153" s="147">
        <f t="shared" si="2"/>
        <v>0</v>
      </c>
      <c r="N153" s="147">
        <f t="shared" si="3"/>
        <v>0</v>
      </c>
      <c r="O153" s="147">
        <f t="shared" si="4"/>
        <v>0</v>
      </c>
      <c r="P153" s="148">
        <f t="shared" si="136"/>
        <v>0.26428235294117647</v>
      </c>
      <c r="Q153" s="147">
        <f t="shared" si="137"/>
        <v>0</v>
      </c>
      <c r="R153" s="147">
        <f t="shared" si="138"/>
        <v>0</v>
      </c>
      <c r="S153" s="147">
        <f t="shared" si="139"/>
        <v>0</v>
      </c>
      <c r="T153" s="200" t="str">
        <f t="shared" si="140"/>
        <v>B</v>
      </c>
      <c r="U153" s="214">
        <v>1</v>
      </c>
      <c r="V153" s="214">
        <v>1</v>
      </c>
      <c r="W153" s="214">
        <v>1</v>
      </c>
      <c r="X153" s="214">
        <v>1</v>
      </c>
      <c r="Y153" s="142"/>
      <c r="Z153" s="149">
        <f t="shared" si="121"/>
        <v>1820</v>
      </c>
      <c r="AA153" s="150">
        <f t="shared" si="122"/>
        <v>4.6249411764705881</v>
      </c>
      <c r="AB153" s="151"/>
      <c r="AE153" s="582">
        <f t="shared" si="123"/>
        <v>0</v>
      </c>
      <c r="AF153" s="582">
        <f t="shared" si="124"/>
        <v>0</v>
      </c>
    </row>
    <row r="154" spans="2:32" ht="18" customHeight="1">
      <c r="B154" s="220" t="s">
        <v>260</v>
      </c>
      <c r="C154" s="221" t="s">
        <v>57</v>
      </c>
      <c r="D154" s="143">
        <v>1</v>
      </c>
      <c r="E154" s="144">
        <v>115</v>
      </c>
      <c r="F154" s="63" t="s">
        <v>353</v>
      </c>
      <c r="G154" s="63" t="s">
        <v>271</v>
      </c>
      <c r="H154" s="51" t="s">
        <v>76</v>
      </c>
      <c r="I154" s="145">
        <v>167.9</v>
      </c>
      <c r="J154" s="213">
        <v>3255</v>
      </c>
      <c r="K154" s="146">
        <f t="shared" si="135"/>
        <v>255</v>
      </c>
      <c r="L154" s="147">
        <f t="shared" si="1"/>
        <v>62.794600000000003</v>
      </c>
      <c r="M154" s="147">
        <f t="shared" si="2"/>
        <v>0</v>
      </c>
      <c r="N154" s="147">
        <f t="shared" si="3"/>
        <v>0</v>
      </c>
      <c r="O154" s="147">
        <f t="shared" si="4"/>
        <v>0</v>
      </c>
      <c r="P154" s="148">
        <f t="shared" si="136"/>
        <v>0.374</v>
      </c>
      <c r="Q154" s="147">
        <f t="shared" si="137"/>
        <v>0</v>
      </c>
      <c r="R154" s="147">
        <f t="shared" si="138"/>
        <v>0</v>
      </c>
      <c r="S154" s="147">
        <f t="shared" si="139"/>
        <v>0</v>
      </c>
      <c r="T154" s="200" t="str">
        <f t="shared" si="140"/>
        <v>V</v>
      </c>
      <c r="U154" s="214">
        <v>1</v>
      </c>
      <c r="V154" s="214">
        <v>1</v>
      </c>
      <c r="W154" s="214">
        <v>1</v>
      </c>
      <c r="X154" s="214">
        <v>1</v>
      </c>
      <c r="Y154" s="142"/>
      <c r="Z154" s="149">
        <f t="shared" si="121"/>
        <v>42814.5</v>
      </c>
      <c r="AA154" s="150">
        <f t="shared" si="122"/>
        <v>62.794600000000003</v>
      </c>
      <c r="AB154" s="151"/>
      <c r="AE154" s="582">
        <f t="shared" si="123"/>
        <v>0</v>
      </c>
      <c r="AF154" s="582">
        <f t="shared" si="124"/>
        <v>167.9</v>
      </c>
    </row>
    <row r="155" spans="2:32" ht="18" customHeight="1">
      <c r="B155" s="220" t="s">
        <v>260</v>
      </c>
      <c r="C155" s="221" t="s">
        <v>57</v>
      </c>
      <c r="D155" s="143">
        <v>1</v>
      </c>
      <c r="E155" s="144" t="s">
        <v>419</v>
      </c>
      <c r="F155" s="63" t="s">
        <v>420</v>
      </c>
      <c r="G155" s="63" t="s">
        <v>271</v>
      </c>
      <c r="H155" s="51" t="s">
        <v>296</v>
      </c>
      <c r="I155" s="145">
        <v>10</v>
      </c>
      <c r="J155" s="213">
        <v>3255</v>
      </c>
      <c r="K155" s="146">
        <f t="shared" ref="K155" si="313">SUM(IF(J155="",0,VLOOKUP(J155,Kengetal,2)))</f>
        <v>255</v>
      </c>
      <c r="L155" s="147">
        <f t="shared" ref="L155" si="314">P155*I155*U155</f>
        <v>3.74</v>
      </c>
      <c r="M155" s="147">
        <f t="shared" ref="M155" si="315">Q155*I155*V155</f>
        <v>0</v>
      </c>
      <c r="N155" s="147">
        <f t="shared" ref="N155" si="316">R155*I155*W155</f>
        <v>0</v>
      </c>
      <c r="O155" s="147">
        <f t="shared" ref="O155" si="317">S155*I155*X155</f>
        <v>0</v>
      </c>
      <c r="P155" s="148">
        <f t="shared" si="136"/>
        <v>0.374</v>
      </c>
      <c r="Q155" s="147">
        <f t="shared" si="137"/>
        <v>0</v>
      </c>
      <c r="R155" s="147">
        <f t="shared" si="138"/>
        <v>0</v>
      </c>
      <c r="S155" s="147">
        <f t="shared" si="139"/>
        <v>0</v>
      </c>
      <c r="T155" s="200" t="str">
        <f t="shared" ref="T155" si="318">IF(J155="","",VLOOKUP(J155,Kengetal,13,FALSE))</f>
        <v>V</v>
      </c>
      <c r="U155" s="214">
        <v>1</v>
      </c>
      <c r="V155" s="214">
        <v>1</v>
      </c>
      <c r="W155" s="214">
        <v>1</v>
      </c>
      <c r="X155" s="214">
        <v>1</v>
      </c>
      <c r="Y155" s="142"/>
      <c r="Z155" s="149">
        <f t="shared" ref="Z155" si="319">I155*K155</f>
        <v>2550</v>
      </c>
      <c r="AA155" s="150">
        <f t="shared" ref="AA155" si="320">L155+M155+N155+O155</f>
        <v>3.74</v>
      </c>
      <c r="AB155" s="151"/>
      <c r="AE155" s="582">
        <f t="shared" ref="AE155" si="321">SUMIF(H155,"Linoleum",I155)</f>
        <v>0</v>
      </c>
      <c r="AF155" s="582">
        <f t="shared" ref="AF155" si="322">SUMIF(H155,"Tapijt",I155)</f>
        <v>0</v>
      </c>
    </row>
    <row r="156" spans="2:32" ht="18" customHeight="1">
      <c r="B156" s="220" t="s">
        <v>260</v>
      </c>
      <c r="C156" s="221" t="s">
        <v>57</v>
      </c>
      <c r="D156" s="143">
        <v>1</v>
      </c>
      <c r="E156" s="144">
        <v>160</v>
      </c>
      <c r="F156" s="63" t="s">
        <v>421</v>
      </c>
      <c r="G156" s="63" t="s">
        <v>271</v>
      </c>
      <c r="H156" s="51" t="s">
        <v>76</v>
      </c>
      <c r="I156" s="145">
        <v>9.1999999999999993</v>
      </c>
      <c r="J156" s="213">
        <v>11255</v>
      </c>
      <c r="K156" s="146">
        <f t="shared" si="135"/>
        <v>255</v>
      </c>
      <c r="L156" s="147">
        <f t="shared" si="1"/>
        <v>11.812799999999999</v>
      </c>
      <c r="M156" s="147">
        <f t="shared" si="2"/>
        <v>0</v>
      </c>
      <c r="N156" s="147">
        <f t="shared" si="3"/>
        <v>0</v>
      </c>
      <c r="O156" s="147">
        <f t="shared" si="4"/>
        <v>0</v>
      </c>
      <c r="P156" s="148">
        <f t="shared" si="136"/>
        <v>1.284</v>
      </c>
      <c r="Q156" s="147">
        <f t="shared" si="137"/>
        <v>0</v>
      </c>
      <c r="R156" s="147">
        <f t="shared" si="138"/>
        <v>0</v>
      </c>
      <c r="S156" s="147">
        <f t="shared" si="139"/>
        <v>0</v>
      </c>
      <c r="T156" s="200" t="str">
        <f t="shared" si="140"/>
        <v>S</v>
      </c>
      <c r="U156" s="214">
        <v>1</v>
      </c>
      <c r="V156" s="214">
        <v>1</v>
      </c>
      <c r="W156" s="214">
        <v>1</v>
      </c>
      <c r="X156" s="214">
        <v>1</v>
      </c>
      <c r="Y156" s="142"/>
      <c r="Z156" s="149">
        <f t="shared" si="121"/>
        <v>2346</v>
      </c>
      <c r="AA156" s="150">
        <f t="shared" si="122"/>
        <v>11.812799999999999</v>
      </c>
      <c r="AB156" s="151"/>
      <c r="AE156" s="582">
        <f t="shared" si="123"/>
        <v>0</v>
      </c>
      <c r="AF156" s="582">
        <f t="shared" si="124"/>
        <v>9.1999999999999993</v>
      </c>
    </row>
    <row r="157" spans="2:32" ht="18" customHeight="1">
      <c r="B157" s="220" t="s">
        <v>260</v>
      </c>
      <c r="C157" s="221" t="s">
        <v>57</v>
      </c>
      <c r="D157" s="143">
        <v>1</v>
      </c>
      <c r="E157" s="144" t="s">
        <v>422</v>
      </c>
      <c r="F157" s="63" t="s">
        <v>363</v>
      </c>
      <c r="G157" s="63" t="s">
        <v>266</v>
      </c>
      <c r="H157" s="51" t="s">
        <v>401</v>
      </c>
      <c r="I157" s="145">
        <v>2.23</v>
      </c>
      <c r="J157" s="213">
        <v>2255</v>
      </c>
      <c r="K157" s="146">
        <f t="shared" ref="K157:K253" si="323">SUM(IF(J157="",0,VLOOKUP(J157,Kengetal,2)))</f>
        <v>255</v>
      </c>
      <c r="L157" s="147">
        <f t="shared" si="1"/>
        <v>7.1538400000000006</v>
      </c>
      <c r="M157" s="147">
        <f t="shared" si="2"/>
        <v>0</v>
      </c>
      <c r="N157" s="147">
        <f t="shared" si="3"/>
        <v>0</v>
      </c>
      <c r="O157" s="147">
        <f t="shared" si="4"/>
        <v>0</v>
      </c>
      <c r="P157" s="148">
        <f t="shared" ref="P157:P253" si="324">IF($J157="",0,VLOOKUP($J157,Kengetal,5,FALSE))</f>
        <v>3.2080000000000002</v>
      </c>
      <c r="Q157" s="147">
        <f t="shared" ref="Q157:Q253" si="325">IF($J157="",0,VLOOKUP($J157,Kengetal,6,FALSE))</f>
        <v>0</v>
      </c>
      <c r="R157" s="147">
        <f t="shared" ref="R157:R253" si="326">IF($J157="",0,VLOOKUP($J157,Kengetal,7,FALSE))</f>
        <v>0</v>
      </c>
      <c r="S157" s="147">
        <f t="shared" ref="S157:S253" si="327">IF($J157="",0,VLOOKUP($J157,Kengetal,8,FALSE))</f>
        <v>0</v>
      </c>
      <c r="T157" s="200" t="str">
        <f t="shared" ref="T157:T253" si="328">IF(J157="","",VLOOKUP(J157,Kengetal,13,FALSE))</f>
        <v>S</v>
      </c>
      <c r="U157" s="214">
        <v>1</v>
      </c>
      <c r="V157" s="214">
        <v>1</v>
      </c>
      <c r="W157" s="214">
        <v>1</v>
      </c>
      <c r="X157" s="214">
        <v>1</v>
      </c>
      <c r="Y157" s="142"/>
      <c r="Z157" s="149">
        <f t="shared" ref="Z157:Z251" si="329">I157*K157</f>
        <v>568.65</v>
      </c>
      <c r="AA157" s="150">
        <f t="shared" ref="AA157:AA251" si="330">L157+M157+N157+O157</f>
        <v>7.1538400000000006</v>
      </c>
      <c r="AB157" s="151"/>
      <c r="AE157" s="582">
        <f t="shared" ref="AE157:AE251" si="331">SUMIF(H157,"Linoleum",I157)</f>
        <v>0</v>
      </c>
      <c r="AF157" s="582">
        <f t="shared" ref="AF157:AF251" si="332">SUMIF(H157,"Tapijt",I157)</f>
        <v>0</v>
      </c>
    </row>
    <row r="158" spans="2:32" ht="18" customHeight="1">
      <c r="B158" s="220" t="s">
        <v>260</v>
      </c>
      <c r="C158" s="221" t="s">
        <v>57</v>
      </c>
      <c r="D158" s="143">
        <v>1</v>
      </c>
      <c r="E158" s="144">
        <v>131</v>
      </c>
      <c r="F158" s="63" t="s">
        <v>363</v>
      </c>
      <c r="G158" s="63" t="s">
        <v>266</v>
      </c>
      <c r="H158" s="51" t="s">
        <v>401</v>
      </c>
      <c r="I158" s="145">
        <v>3</v>
      </c>
      <c r="J158" s="213">
        <v>2255</v>
      </c>
      <c r="K158" s="146">
        <f t="shared" si="323"/>
        <v>255</v>
      </c>
      <c r="L158" s="147">
        <f t="shared" si="1"/>
        <v>9.6240000000000006</v>
      </c>
      <c r="M158" s="147">
        <f t="shared" si="2"/>
        <v>0</v>
      </c>
      <c r="N158" s="147">
        <f t="shared" si="3"/>
        <v>0</v>
      </c>
      <c r="O158" s="147">
        <f t="shared" si="4"/>
        <v>0</v>
      </c>
      <c r="P158" s="148">
        <f t="shared" si="324"/>
        <v>3.2080000000000002</v>
      </c>
      <c r="Q158" s="147">
        <f t="shared" si="325"/>
        <v>0</v>
      </c>
      <c r="R158" s="147">
        <f t="shared" si="326"/>
        <v>0</v>
      </c>
      <c r="S158" s="147">
        <f t="shared" si="327"/>
        <v>0</v>
      </c>
      <c r="T158" s="200" t="str">
        <f t="shared" si="328"/>
        <v>S</v>
      </c>
      <c r="U158" s="214">
        <v>1</v>
      </c>
      <c r="V158" s="214">
        <v>1</v>
      </c>
      <c r="W158" s="214">
        <v>1</v>
      </c>
      <c r="X158" s="214">
        <v>1</v>
      </c>
      <c r="Y158" s="142"/>
      <c r="Z158" s="149">
        <f t="shared" si="329"/>
        <v>765</v>
      </c>
      <c r="AA158" s="150">
        <f t="shared" si="330"/>
        <v>9.6240000000000006</v>
      </c>
      <c r="AB158" s="151"/>
      <c r="AE158" s="582">
        <f t="shared" si="331"/>
        <v>0</v>
      </c>
      <c r="AF158" s="582">
        <f t="shared" si="332"/>
        <v>0</v>
      </c>
    </row>
    <row r="159" spans="2:32" ht="18" customHeight="1">
      <c r="B159" s="220" t="s">
        <v>260</v>
      </c>
      <c r="C159" s="221" t="s">
        <v>57</v>
      </c>
      <c r="D159" s="143">
        <v>1</v>
      </c>
      <c r="E159" s="144">
        <v>141</v>
      </c>
      <c r="F159" s="63" t="s">
        <v>353</v>
      </c>
      <c r="G159" s="63" t="s">
        <v>271</v>
      </c>
      <c r="H159" s="51" t="s">
        <v>401</v>
      </c>
      <c r="I159" s="145">
        <v>9.6</v>
      </c>
      <c r="J159" s="213">
        <v>3255</v>
      </c>
      <c r="K159" s="146">
        <f t="shared" si="323"/>
        <v>255</v>
      </c>
      <c r="L159" s="147">
        <f t="shared" si="1"/>
        <v>3.5903999999999998</v>
      </c>
      <c r="M159" s="147">
        <f t="shared" si="2"/>
        <v>0</v>
      </c>
      <c r="N159" s="147">
        <f t="shared" si="3"/>
        <v>0</v>
      </c>
      <c r="O159" s="147">
        <f t="shared" si="4"/>
        <v>0</v>
      </c>
      <c r="P159" s="148">
        <f t="shared" si="324"/>
        <v>0.374</v>
      </c>
      <c r="Q159" s="147">
        <f t="shared" si="325"/>
        <v>0</v>
      </c>
      <c r="R159" s="147">
        <f t="shared" si="326"/>
        <v>0</v>
      </c>
      <c r="S159" s="147">
        <f t="shared" si="327"/>
        <v>0</v>
      </c>
      <c r="T159" s="200" t="str">
        <f t="shared" si="328"/>
        <v>V</v>
      </c>
      <c r="U159" s="214">
        <v>1</v>
      </c>
      <c r="V159" s="214">
        <v>1</v>
      </c>
      <c r="W159" s="214">
        <v>1</v>
      </c>
      <c r="X159" s="214">
        <v>1</v>
      </c>
      <c r="Y159" s="142"/>
      <c r="Z159" s="149">
        <f t="shared" si="329"/>
        <v>2448</v>
      </c>
      <c r="AA159" s="150">
        <f t="shared" si="330"/>
        <v>3.5903999999999998</v>
      </c>
      <c r="AB159" s="151"/>
      <c r="AE159" s="582">
        <f t="shared" si="331"/>
        <v>0</v>
      </c>
      <c r="AF159" s="582">
        <f t="shared" si="332"/>
        <v>0</v>
      </c>
    </row>
    <row r="160" spans="2:32" ht="18" customHeight="1">
      <c r="B160" s="220" t="s">
        <v>260</v>
      </c>
      <c r="C160" s="221" t="s">
        <v>57</v>
      </c>
      <c r="D160" s="143">
        <v>1</v>
      </c>
      <c r="E160" s="144">
        <v>176</v>
      </c>
      <c r="F160" s="63" t="s">
        <v>281</v>
      </c>
      <c r="G160" s="63" t="s">
        <v>271</v>
      </c>
      <c r="H160" s="51" t="s">
        <v>296</v>
      </c>
      <c r="I160" s="145">
        <v>11.8</v>
      </c>
      <c r="J160" s="213">
        <v>5052</v>
      </c>
      <c r="K160" s="146">
        <f t="shared" si="323"/>
        <v>52</v>
      </c>
      <c r="L160" s="147">
        <f t="shared" si="1"/>
        <v>2.637758117647059</v>
      </c>
      <c r="M160" s="147">
        <f t="shared" si="2"/>
        <v>0</v>
      </c>
      <c r="N160" s="147">
        <f t="shared" si="3"/>
        <v>0</v>
      </c>
      <c r="O160" s="147">
        <f t="shared" si="4"/>
        <v>0</v>
      </c>
      <c r="P160" s="148">
        <f t="shared" si="324"/>
        <v>0.22353882352941176</v>
      </c>
      <c r="Q160" s="147">
        <f t="shared" si="325"/>
        <v>0</v>
      </c>
      <c r="R160" s="147">
        <f t="shared" si="326"/>
        <v>0</v>
      </c>
      <c r="S160" s="147">
        <f t="shared" si="327"/>
        <v>0</v>
      </c>
      <c r="T160" s="200" t="str">
        <f t="shared" si="328"/>
        <v>V</v>
      </c>
      <c r="U160" s="214">
        <v>1</v>
      </c>
      <c r="V160" s="214">
        <v>1</v>
      </c>
      <c r="W160" s="214">
        <v>1</v>
      </c>
      <c r="X160" s="214">
        <v>1</v>
      </c>
      <c r="Y160" s="142"/>
      <c r="Z160" s="149">
        <f t="shared" si="329"/>
        <v>613.6</v>
      </c>
      <c r="AA160" s="150">
        <f t="shared" si="330"/>
        <v>2.637758117647059</v>
      </c>
      <c r="AB160" s="151"/>
      <c r="AE160" s="582">
        <f t="shared" si="331"/>
        <v>0</v>
      </c>
      <c r="AF160" s="582">
        <f t="shared" si="332"/>
        <v>0</v>
      </c>
    </row>
    <row r="161" spans="2:32" ht="18" customHeight="1">
      <c r="B161" s="220" t="s">
        <v>260</v>
      </c>
      <c r="C161" s="221" t="s">
        <v>57</v>
      </c>
      <c r="D161" s="143">
        <v>1</v>
      </c>
      <c r="E161" s="144">
        <v>143</v>
      </c>
      <c r="F161" s="63" t="s">
        <v>423</v>
      </c>
      <c r="G161" s="63" t="s">
        <v>271</v>
      </c>
      <c r="H161" s="51" t="s">
        <v>76</v>
      </c>
      <c r="I161" s="145">
        <v>47</v>
      </c>
      <c r="J161" s="213">
        <v>3255</v>
      </c>
      <c r="K161" s="146">
        <f t="shared" si="323"/>
        <v>255</v>
      </c>
      <c r="L161" s="147">
        <f t="shared" si="1"/>
        <v>17.577999999999999</v>
      </c>
      <c r="M161" s="147">
        <f t="shared" si="2"/>
        <v>0</v>
      </c>
      <c r="N161" s="147">
        <f t="shared" si="3"/>
        <v>0</v>
      </c>
      <c r="O161" s="147">
        <f t="shared" si="4"/>
        <v>0</v>
      </c>
      <c r="P161" s="148">
        <f t="shared" si="324"/>
        <v>0.374</v>
      </c>
      <c r="Q161" s="147">
        <f t="shared" si="325"/>
        <v>0</v>
      </c>
      <c r="R161" s="147">
        <f t="shared" si="326"/>
        <v>0</v>
      </c>
      <c r="S161" s="147">
        <f t="shared" si="327"/>
        <v>0</v>
      </c>
      <c r="T161" s="200" t="str">
        <f t="shared" si="328"/>
        <v>V</v>
      </c>
      <c r="U161" s="214">
        <v>1</v>
      </c>
      <c r="V161" s="214">
        <v>1</v>
      </c>
      <c r="W161" s="214">
        <v>1</v>
      </c>
      <c r="X161" s="214">
        <v>1</v>
      </c>
      <c r="Y161" s="142"/>
      <c r="Z161" s="149">
        <f t="shared" si="329"/>
        <v>11985</v>
      </c>
      <c r="AA161" s="150">
        <f t="shared" si="330"/>
        <v>17.577999999999999</v>
      </c>
      <c r="AB161" s="151"/>
      <c r="AE161" s="582">
        <f t="shared" si="331"/>
        <v>0</v>
      </c>
      <c r="AF161" s="582">
        <f t="shared" si="332"/>
        <v>47</v>
      </c>
    </row>
    <row r="162" spans="2:32" ht="18" customHeight="1">
      <c r="B162" s="220" t="s">
        <v>260</v>
      </c>
      <c r="C162" s="221" t="s">
        <v>57</v>
      </c>
      <c r="D162" s="143">
        <v>1</v>
      </c>
      <c r="E162" s="144" t="s">
        <v>424</v>
      </c>
      <c r="F162" s="63" t="s">
        <v>363</v>
      </c>
      <c r="G162" s="63" t="s">
        <v>266</v>
      </c>
      <c r="H162" s="51" t="s">
        <v>276</v>
      </c>
      <c r="I162" s="145">
        <v>6.3</v>
      </c>
      <c r="J162" s="213">
        <v>2510</v>
      </c>
      <c r="K162" s="146">
        <f t="shared" si="323"/>
        <v>510</v>
      </c>
      <c r="L162" s="147">
        <f t="shared" si="1"/>
        <v>20.2104</v>
      </c>
      <c r="M162" s="147">
        <f t="shared" si="2"/>
        <v>10.1052</v>
      </c>
      <c r="N162" s="147">
        <f t="shared" si="3"/>
        <v>0</v>
      </c>
      <c r="O162" s="147">
        <f t="shared" si="4"/>
        <v>0</v>
      </c>
      <c r="P162" s="148">
        <f t="shared" si="324"/>
        <v>3.2080000000000002</v>
      </c>
      <c r="Q162" s="147">
        <f t="shared" si="325"/>
        <v>1.6040000000000001</v>
      </c>
      <c r="R162" s="147">
        <f t="shared" si="326"/>
        <v>0</v>
      </c>
      <c r="S162" s="147">
        <f t="shared" si="327"/>
        <v>0</v>
      </c>
      <c r="T162" s="200" t="str">
        <f t="shared" si="328"/>
        <v>S</v>
      </c>
      <c r="U162" s="214">
        <v>1</v>
      </c>
      <c r="V162" s="214">
        <v>1</v>
      </c>
      <c r="W162" s="214">
        <v>1</v>
      </c>
      <c r="X162" s="214">
        <v>1</v>
      </c>
      <c r="Y162" s="142"/>
      <c r="Z162" s="149">
        <f t="shared" si="329"/>
        <v>3213</v>
      </c>
      <c r="AA162" s="150">
        <f t="shared" si="330"/>
        <v>30.3156</v>
      </c>
      <c r="AB162" s="151"/>
      <c r="AE162" s="582">
        <f t="shared" si="331"/>
        <v>0</v>
      </c>
      <c r="AF162" s="582">
        <f t="shared" si="332"/>
        <v>0</v>
      </c>
    </row>
    <row r="163" spans="2:32" ht="18" customHeight="1">
      <c r="B163" s="220" t="s">
        <v>260</v>
      </c>
      <c r="C163" s="221" t="s">
        <v>57</v>
      </c>
      <c r="D163" s="143">
        <v>1</v>
      </c>
      <c r="E163" s="144" t="s">
        <v>425</v>
      </c>
      <c r="F163" s="63" t="s">
        <v>363</v>
      </c>
      <c r="G163" s="63" t="s">
        <v>266</v>
      </c>
      <c r="H163" s="51" t="s">
        <v>276</v>
      </c>
      <c r="I163" s="145">
        <v>6.3</v>
      </c>
      <c r="J163" s="213">
        <v>2510</v>
      </c>
      <c r="K163" s="146">
        <f t="shared" si="323"/>
        <v>510</v>
      </c>
      <c r="L163" s="147">
        <f t="shared" si="1"/>
        <v>20.2104</v>
      </c>
      <c r="M163" s="147">
        <f t="shared" si="2"/>
        <v>10.1052</v>
      </c>
      <c r="N163" s="147">
        <f t="shared" si="3"/>
        <v>0</v>
      </c>
      <c r="O163" s="147">
        <f t="shared" si="4"/>
        <v>0</v>
      </c>
      <c r="P163" s="148">
        <f t="shared" si="324"/>
        <v>3.2080000000000002</v>
      </c>
      <c r="Q163" s="147">
        <f t="shared" si="325"/>
        <v>1.6040000000000001</v>
      </c>
      <c r="R163" s="147">
        <f t="shared" si="326"/>
        <v>0</v>
      </c>
      <c r="S163" s="147">
        <f t="shared" si="327"/>
        <v>0</v>
      </c>
      <c r="T163" s="200" t="str">
        <f t="shared" si="328"/>
        <v>S</v>
      </c>
      <c r="U163" s="214">
        <v>1</v>
      </c>
      <c r="V163" s="214">
        <v>1</v>
      </c>
      <c r="W163" s="214">
        <v>1</v>
      </c>
      <c r="X163" s="214">
        <v>1</v>
      </c>
      <c r="Y163" s="142"/>
      <c r="Z163" s="149">
        <f t="shared" si="329"/>
        <v>3213</v>
      </c>
      <c r="AA163" s="150">
        <f t="shared" si="330"/>
        <v>30.3156</v>
      </c>
      <c r="AB163" s="151"/>
      <c r="AE163" s="582">
        <f t="shared" si="331"/>
        <v>0</v>
      </c>
      <c r="AF163" s="582">
        <f t="shared" si="332"/>
        <v>0</v>
      </c>
    </row>
    <row r="164" spans="2:32" ht="18" customHeight="1">
      <c r="B164" s="220" t="s">
        <v>260</v>
      </c>
      <c r="C164" s="221" t="s">
        <v>57</v>
      </c>
      <c r="D164" s="143">
        <v>1</v>
      </c>
      <c r="E164" s="144" t="s">
        <v>426</v>
      </c>
      <c r="F164" s="63" t="s">
        <v>361</v>
      </c>
      <c r="G164" s="63" t="s">
        <v>266</v>
      </c>
      <c r="H164" s="51" t="s">
        <v>276</v>
      </c>
      <c r="I164" s="145">
        <v>5.0999999999999996</v>
      </c>
      <c r="J164" s="213">
        <v>2510</v>
      </c>
      <c r="K164" s="146">
        <f t="shared" si="323"/>
        <v>510</v>
      </c>
      <c r="L164" s="147">
        <f t="shared" si="1"/>
        <v>16.360800000000001</v>
      </c>
      <c r="M164" s="147">
        <f t="shared" si="2"/>
        <v>8.1804000000000006</v>
      </c>
      <c r="N164" s="147">
        <f t="shared" si="3"/>
        <v>0</v>
      </c>
      <c r="O164" s="147">
        <f t="shared" si="4"/>
        <v>0</v>
      </c>
      <c r="P164" s="148">
        <f t="shared" si="324"/>
        <v>3.2080000000000002</v>
      </c>
      <c r="Q164" s="147">
        <f t="shared" si="325"/>
        <v>1.6040000000000001</v>
      </c>
      <c r="R164" s="147">
        <f t="shared" si="326"/>
        <v>0</v>
      </c>
      <c r="S164" s="147">
        <f t="shared" si="327"/>
        <v>0</v>
      </c>
      <c r="T164" s="200" t="str">
        <f t="shared" si="328"/>
        <v>S</v>
      </c>
      <c r="U164" s="214">
        <v>1</v>
      </c>
      <c r="V164" s="214">
        <v>1</v>
      </c>
      <c r="W164" s="214">
        <v>1</v>
      </c>
      <c r="X164" s="214">
        <v>1</v>
      </c>
      <c r="Y164" s="142"/>
      <c r="Z164" s="149">
        <f t="shared" si="329"/>
        <v>2601</v>
      </c>
      <c r="AA164" s="150">
        <f t="shared" si="330"/>
        <v>24.541200000000003</v>
      </c>
      <c r="AB164" s="151"/>
      <c r="AE164" s="582">
        <f t="shared" si="331"/>
        <v>0</v>
      </c>
      <c r="AF164" s="582">
        <f t="shared" si="332"/>
        <v>0</v>
      </c>
    </row>
    <row r="165" spans="2:32" ht="18" customHeight="1">
      <c r="B165" s="220" t="s">
        <v>260</v>
      </c>
      <c r="C165" s="221" t="s">
        <v>57</v>
      </c>
      <c r="D165" s="143">
        <v>1</v>
      </c>
      <c r="E165" s="144">
        <v>178</v>
      </c>
      <c r="F165" s="63" t="s">
        <v>281</v>
      </c>
      <c r="G165" s="63" t="s">
        <v>271</v>
      </c>
      <c r="H165" s="51" t="s">
        <v>296</v>
      </c>
      <c r="I165" s="145">
        <v>8.1999999999999993</v>
      </c>
      <c r="J165" s="213">
        <v>5255</v>
      </c>
      <c r="K165" s="146">
        <f t="shared" si="323"/>
        <v>255</v>
      </c>
      <c r="L165" s="147">
        <f t="shared" si="1"/>
        <v>6.4205999999999994</v>
      </c>
      <c r="M165" s="147">
        <f t="shared" si="2"/>
        <v>0</v>
      </c>
      <c r="N165" s="147">
        <f t="shared" si="3"/>
        <v>0</v>
      </c>
      <c r="O165" s="147">
        <f t="shared" si="4"/>
        <v>0</v>
      </c>
      <c r="P165" s="148">
        <f t="shared" si="324"/>
        <v>0.78300000000000003</v>
      </c>
      <c r="Q165" s="147">
        <f t="shared" si="325"/>
        <v>0</v>
      </c>
      <c r="R165" s="147">
        <f t="shared" si="326"/>
        <v>0</v>
      </c>
      <c r="S165" s="147">
        <f t="shared" si="327"/>
        <v>0</v>
      </c>
      <c r="T165" s="200" t="str">
        <f t="shared" si="328"/>
        <v>V</v>
      </c>
      <c r="U165" s="214">
        <v>1</v>
      </c>
      <c r="V165" s="214">
        <v>1</v>
      </c>
      <c r="W165" s="214">
        <v>1</v>
      </c>
      <c r="X165" s="214">
        <v>1</v>
      </c>
      <c r="Y165" s="142"/>
      <c r="Z165" s="149">
        <f t="shared" si="329"/>
        <v>2091</v>
      </c>
      <c r="AA165" s="150">
        <f t="shared" si="330"/>
        <v>6.4205999999999994</v>
      </c>
      <c r="AB165" s="151"/>
      <c r="AE165" s="582">
        <f t="shared" si="331"/>
        <v>0</v>
      </c>
      <c r="AF165" s="582">
        <f t="shared" si="332"/>
        <v>0</v>
      </c>
    </row>
    <row r="166" spans="2:32" ht="18" customHeight="1">
      <c r="B166" s="220" t="s">
        <v>260</v>
      </c>
      <c r="C166" s="221" t="s">
        <v>57</v>
      </c>
      <c r="D166" s="143">
        <v>1</v>
      </c>
      <c r="E166" s="144">
        <v>111</v>
      </c>
      <c r="F166" s="63" t="s">
        <v>281</v>
      </c>
      <c r="G166" s="63" t="s">
        <v>271</v>
      </c>
      <c r="H166" s="51" t="s">
        <v>296</v>
      </c>
      <c r="I166" s="145">
        <v>11.1</v>
      </c>
      <c r="J166" s="213">
        <v>5052</v>
      </c>
      <c r="K166" s="146">
        <f t="shared" si="323"/>
        <v>52</v>
      </c>
      <c r="L166" s="147">
        <f t="shared" si="1"/>
        <v>2.4812809411764705</v>
      </c>
      <c r="M166" s="147">
        <f t="shared" si="2"/>
        <v>0</v>
      </c>
      <c r="N166" s="147">
        <f t="shared" si="3"/>
        <v>0</v>
      </c>
      <c r="O166" s="147">
        <f t="shared" si="4"/>
        <v>0</v>
      </c>
      <c r="P166" s="148">
        <f t="shared" si="324"/>
        <v>0.22353882352941176</v>
      </c>
      <c r="Q166" s="147">
        <f t="shared" si="325"/>
        <v>0</v>
      </c>
      <c r="R166" s="147">
        <f t="shared" si="326"/>
        <v>0</v>
      </c>
      <c r="S166" s="147">
        <f t="shared" si="327"/>
        <v>0</v>
      </c>
      <c r="T166" s="200" t="str">
        <f t="shared" si="328"/>
        <v>V</v>
      </c>
      <c r="U166" s="214">
        <v>1</v>
      </c>
      <c r="V166" s="214">
        <v>1</v>
      </c>
      <c r="W166" s="214">
        <v>1</v>
      </c>
      <c r="X166" s="214">
        <v>1</v>
      </c>
      <c r="Y166" s="142"/>
      <c r="Z166" s="149">
        <f t="shared" si="329"/>
        <v>577.19999999999993</v>
      </c>
      <c r="AA166" s="150">
        <f t="shared" si="330"/>
        <v>2.4812809411764705</v>
      </c>
      <c r="AB166" s="151"/>
      <c r="AE166" s="582">
        <f t="shared" si="331"/>
        <v>0</v>
      </c>
      <c r="AF166" s="582">
        <f t="shared" si="332"/>
        <v>0</v>
      </c>
    </row>
    <row r="167" spans="2:32" ht="18" customHeight="1">
      <c r="B167" s="220" t="s">
        <v>260</v>
      </c>
      <c r="C167" s="221" t="s">
        <v>57</v>
      </c>
      <c r="D167" s="143">
        <v>1</v>
      </c>
      <c r="E167" s="144" t="s">
        <v>427</v>
      </c>
      <c r="F167" s="63" t="s">
        <v>361</v>
      </c>
      <c r="G167" s="63" t="s">
        <v>266</v>
      </c>
      <c r="H167" s="51" t="s">
        <v>276</v>
      </c>
      <c r="I167" s="145">
        <v>3.7</v>
      </c>
      <c r="J167" s="213">
        <v>2510</v>
      </c>
      <c r="K167" s="146">
        <f t="shared" si="323"/>
        <v>510</v>
      </c>
      <c r="L167" s="147">
        <f t="shared" si="1"/>
        <v>11.869600000000002</v>
      </c>
      <c r="M167" s="147">
        <f t="shared" si="2"/>
        <v>5.934800000000001</v>
      </c>
      <c r="N167" s="147">
        <f t="shared" si="3"/>
        <v>0</v>
      </c>
      <c r="O167" s="147">
        <f t="shared" si="4"/>
        <v>0</v>
      </c>
      <c r="P167" s="148">
        <f t="shared" si="324"/>
        <v>3.2080000000000002</v>
      </c>
      <c r="Q167" s="147">
        <f t="shared" si="325"/>
        <v>1.6040000000000001</v>
      </c>
      <c r="R167" s="147">
        <f t="shared" si="326"/>
        <v>0</v>
      </c>
      <c r="S167" s="147">
        <f t="shared" si="327"/>
        <v>0</v>
      </c>
      <c r="T167" s="200" t="str">
        <f t="shared" si="328"/>
        <v>S</v>
      </c>
      <c r="U167" s="214">
        <v>1</v>
      </c>
      <c r="V167" s="214">
        <v>1</v>
      </c>
      <c r="W167" s="214">
        <v>1</v>
      </c>
      <c r="X167" s="214">
        <v>1</v>
      </c>
      <c r="Y167" s="142"/>
      <c r="Z167" s="149">
        <f t="shared" si="329"/>
        <v>1887</v>
      </c>
      <c r="AA167" s="150">
        <f t="shared" si="330"/>
        <v>17.804400000000001</v>
      </c>
      <c r="AB167" s="151"/>
      <c r="AE167" s="582">
        <f t="shared" si="331"/>
        <v>0</v>
      </c>
      <c r="AF167" s="582">
        <f t="shared" si="332"/>
        <v>0</v>
      </c>
    </row>
    <row r="168" spans="2:32" ht="18" customHeight="1">
      <c r="B168" s="220" t="s">
        <v>260</v>
      </c>
      <c r="C168" s="221" t="s">
        <v>57</v>
      </c>
      <c r="D168" s="143">
        <v>1</v>
      </c>
      <c r="E168" s="144" t="s">
        <v>428</v>
      </c>
      <c r="F168" s="63" t="s">
        <v>363</v>
      </c>
      <c r="G168" s="63" t="s">
        <v>266</v>
      </c>
      <c r="H168" s="51" t="s">
        <v>276</v>
      </c>
      <c r="I168" s="145">
        <v>10.4</v>
      </c>
      <c r="J168" s="213">
        <v>2510</v>
      </c>
      <c r="K168" s="146">
        <f t="shared" si="323"/>
        <v>510</v>
      </c>
      <c r="L168" s="147">
        <f t="shared" si="1"/>
        <v>33.363200000000006</v>
      </c>
      <c r="M168" s="147">
        <f t="shared" si="2"/>
        <v>16.681600000000003</v>
      </c>
      <c r="N168" s="147">
        <f t="shared" si="3"/>
        <v>0</v>
      </c>
      <c r="O168" s="147">
        <f t="shared" si="4"/>
        <v>0</v>
      </c>
      <c r="P168" s="148">
        <f t="shared" si="324"/>
        <v>3.2080000000000002</v>
      </c>
      <c r="Q168" s="147">
        <f t="shared" si="325"/>
        <v>1.6040000000000001</v>
      </c>
      <c r="R168" s="147">
        <f t="shared" si="326"/>
        <v>0</v>
      </c>
      <c r="S168" s="147">
        <f t="shared" si="327"/>
        <v>0</v>
      </c>
      <c r="T168" s="200" t="str">
        <f t="shared" si="328"/>
        <v>S</v>
      </c>
      <c r="U168" s="214">
        <v>1</v>
      </c>
      <c r="V168" s="214">
        <v>1</v>
      </c>
      <c r="W168" s="214">
        <v>1</v>
      </c>
      <c r="X168" s="214">
        <v>1</v>
      </c>
      <c r="Y168" s="142"/>
      <c r="Z168" s="149">
        <f t="shared" si="329"/>
        <v>5304</v>
      </c>
      <c r="AA168" s="150">
        <f t="shared" si="330"/>
        <v>50.044800000000009</v>
      </c>
      <c r="AB168" s="151"/>
      <c r="AE168" s="582">
        <f t="shared" si="331"/>
        <v>0</v>
      </c>
      <c r="AF168" s="582">
        <f t="shared" si="332"/>
        <v>0</v>
      </c>
    </row>
    <row r="169" spans="2:32" ht="18" customHeight="1">
      <c r="B169" s="220" t="s">
        <v>260</v>
      </c>
      <c r="C169" s="221" t="s">
        <v>57</v>
      </c>
      <c r="D169" s="143">
        <v>1</v>
      </c>
      <c r="E169" s="144" t="s">
        <v>419</v>
      </c>
      <c r="F169" s="63" t="s">
        <v>281</v>
      </c>
      <c r="G169" s="63" t="s">
        <v>271</v>
      </c>
      <c r="H169" s="51" t="s">
        <v>296</v>
      </c>
      <c r="I169" s="145">
        <v>12</v>
      </c>
      <c r="J169" s="213">
        <v>5255</v>
      </c>
      <c r="K169" s="146">
        <f t="shared" si="323"/>
        <v>255</v>
      </c>
      <c r="L169" s="147">
        <f t="shared" si="1"/>
        <v>9.3960000000000008</v>
      </c>
      <c r="M169" s="147">
        <f t="shared" si="2"/>
        <v>0</v>
      </c>
      <c r="N169" s="147">
        <f t="shared" si="3"/>
        <v>0</v>
      </c>
      <c r="O169" s="147">
        <f t="shared" si="4"/>
        <v>0</v>
      </c>
      <c r="P169" s="148">
        <f t="shared" si="324"/>
        <v>0.78300000000000003</v>
      </c>
      <c r="Q169" s="147">
        <f t="shared" si="325"/>
        <v>0</v>
      </c>
      <c r="R169" s="147">
        <f t="shared" si="326"/>
        <v>0</v>
      </c>
      <c r="S169" s="147">
        <f t="shared" si="327"/>
        <v>0</v>
      </c>
      <c r="T169" s="200" t="str">
        <f t="shared" si="328"/>
        <v>V</v>
      </c>
      <c r="U169" s="214">
        <v>1</v>
      </c>
      <c r="V169" s="214">
        <v>1</v>
      </c>
      <c r="W169" s="214">
        <v>1</v>
      </c>
      <c r="X169" s="214">
        <v>1</v>
      </c>
      <c r="Y169" s="142"/>
      <c r="Z169" s="149">
        <f t="shared" si="329"/>
        <v>3060</v>
      </c>
      <c r="AA169" s="150">
        <f t="shared" si="330"/>
        <v>9.3960000000000008</v>
      </c>
      <c r="AB169" s="151"/>
      <c r="AE169" s="582">
        <f t="shared" si="331"/>
        <v>0</v>
      </c>
      <c r="AF169" s="582">
        <f t="shared" si="332"/>
        <v>0</v>
      </c>
    </row>
    <row r="170" spans="2:32" ht="18" customHeight="1">
      <c r="B170" s="220" t="s">
        <v>260</v>
      </c>
      <c r="C170" s="221" t="s">
        <v>57</v>
      </c>
      <c r="D170" s="143">
        <v>1</v>
      </c>
      <c r="E170" s="144">
        <v>1100</v>
      </c>
      <c r="F170" s="63" t="s">
        <v>413</v>
      </c>
      <c r="G170" s="63" t="s">
        <v>271</v>
      </c>
      <c r="H170" s="51" t="s">
        <v>76</v>
      </c>
      <c r="I170" s="145">
        <v>72.5</v>
      </c>
      <c r="J170" s="213">
        <v>3255</v>
      </c>
      <c r="K170" s="146">
        <f t="shared" si="323"/>
        <v>255</v>
      </c>
      <c r="L170" s="147">
        <f t="shared" si="1"/>
        <v>27.114999999999998</v>
      </c>
      <c r="M170" s="147">
        <f t="shared" si="2"/>
        <v>0</v>
      </c>
      <c r="N170" s="147">
        <f t="shared" si="3"/>
        <v>0</v>
      </c>
      <c r="O170" s="147">
        <f t="shared" si="4"/>
        <v>0</v>
      </c>
      <c r="P170" s="148">
        <f t="shared" si="324"/>
        <v>0.374</v>
      </c>
      <c r="Q170" s="147">
        <f t="shared" si="325"/>
        <v>0</v>
      </c>
      <c r="R170" s="147">
        <f t="shared" si="326"/>
        <v>0</v>
      </c>
      <c r="S170" s="147">
        <f t="shared" si="327"/>
        <v>0</v>
      </c>
      <c r="T170" s="200" t="str">
        <f t="shared" si="328"/>
        <v>V</v>
      </c>
      <c r="U170" s="214">
        <v>1</v>
      </c>
      <c r="V170" s="214">
        <v>1</v>
      </c>
      <c r="W170" s="214">
        <v>1</v>
      </c>
      <c r="X170" s="214">
        <v>1</v>
      </c>
      <c r="Y170" s="142"/>
      <c r="Z170" s="149">
        <f t="shared" ref="Z170:Z183" si="333">I170*K170</f>
        <v>18487.5</v>
      </c>
      <c r="AA170" s="150">
        <f t="shared" ref="AA170:AA183" si="334">L170+M170+N170+O170</f>
        <v>27.114999999999998</v>
      </c>
      <c r="AB170" s="151"/>
      <c r="AE170" s="582">
        <f t="shared" ref="AE170:AE183" si="335">SUMIF(H170,"Linoleum",I170)</f>
        <v>0</v>
      </c>
      <c r="AF170" s="582">
        <f t="shared" ref="AF170:AF183" si="336">SUMIF(H170,"Tapijt",I170)</f>
        <v>72.5</v>
      </c>
    </row>
    <row r="171" spans="2:32" ht="18" customHeight="1">
      <c r="B171" s="220" t="s">
        <v>260</v>
      </c>
      <c r="C171" s="221" t="s">
        <v>57</v>
      </c>
      <c r="D171" s="143">
        <v>1</v>
      </c>
      <c r="E171" s="144" t="s">
        <v>429</v>
      </c>
      <c r="F171" s="63" t="s">
        <v>262</v>
      </c>
      <c r="G171" s="63" t="s">
        <v>263</v>
      </c>
      <c r="H171" s="51" t="s">
        <v>76</v>
      </c>
      <c r="I171" s="145">
        <v>7</v>
      </c>
      <c r="J171" s="213">
        <v>1104</v>
      </c>
      <c r="K171" s="146">
        <f t="shared" si="323"/>
        <v>104</v>
      </c>
      <c r="L171" s="147">
        <f t="shared" si="1"/>
        <v>1.8499764705882353</v>
      </c>
      <c r="M171" s="147">
        <f t="shared" si="2"/>
        <v>0</v>
      </c>
      <c r="N171" s="147">
        <f t="shared" si="3"/>
        <v>0</v>
      </c>
      <c r="O171" s="147">
        <f t="shared" si="4"/>
        <v>0</v>
      </c>
      <c r="P171" s="148">
        <f t="shared" si="324"/>
        <v>0.26428235294117647</v>
      </c>
      <c r="Q171" s="147">
        <f t="shared" si="325"/>
        <v>0</v>
      </c>
      <c r="R171" s="147">
        <f t="shared" si="326"/>
        <v>0</v>
      </c>
      <c r="S171" s="147">
        <f t="shared" si="327"/>
        <v>0</v>
      </c>
      <c r="T171" s="200" t="str">
        <f t="shared" si="328"/>
        <v>B</v>
      </c>
      <c r="U171" s="214">
        <v>1</v>
      </c>
      <c r="V171" s="214">
        <v>1</v>
      </c>
      <c r="W171" s="214">
        <v>1</v>
      </c>
      <c r="X171" s="214">
        <v>1</v>
      </c>
      <c r="Y171" s="142"/>
      <c r="Z171" s="149">
        <f t="shared" ref="Z171:Z173" si="337">I171*K171</f>
        <v>728</v>
      </c>
      <c r="AA171" s="150">
        <f t="shared" ref="AA171:AA173" si="338">L171+M171+N171+O171</f>
        <v>1.8499764705882353</v>
      </c>
      <c r="AB171" s="151"/>
      <c r="AE171" s="582">
        <f t="shared" ref="AE171:AE173" si="339">SUMIF(H171,"Linoleum",I171)</f>
        <v>0</v>
      </c>
      <c r="AF171" s="582">
        <f t="shared" ref="AF171:AF173" si="340">SUMIF(H171,"Tapijt",I171)</f>
        <v>7</v>
      </c>
    </row>
    <row r="172" spans="2:32" ht="18" customHeight="1">
      <c r="B172" s="220" t="s">
        <v>260</v>
      </c>
      <c r="C172" s="221" t="s">
        <v>57</v>
      </c>
      <c r="D172" s="143">
        <v>1</v>
      </c>
      <c r="E172" s="144" t="s">
        <v>430</v>
      </c>
      <c r="F172" s="63" t="s">
        <v>262</v>
      </c>
      <c r="G172" s="63" t="s">
        <v>263</v>
      </c>
      <c r="H172" s="51" t="s">
        <v>76</v>
      </c>
      <c r="I172" s="145">
        <v>7</v>
      </c>
      <c r="J172" s="213">
        <v>1104</v>
      </c>
      <c r="K172" s="146">
        <f t="shared" ref="K172" si="341">SUM(IF(J172="",0,VLOOKUP(J172,Kengetal,2)))</f>
        <v>104</v>
      </c>
      <c r="L172" s="147">
        <f t="shared" ref="L172" si="342">P172*I172*U172</f>
        <v>1.8499764705882353</v>
      </c>
      <c r="M172" s="147">
        <f t="shared" ref="M172" si="343">Q172*I172*V172</f>
        <v>0</v>
      </c>
      <c r="N172" s="147">
        <f t="shared" ref="N172" si="344">R172*I172*W172</f>
        <v>0</v>
      </c>
      <c r="O172" s="147">
        <f t="shared" ref="O172" si="345">S172*I172*X172</f>
        <v>0</v>
      </c>
      <c r="P172" s="148">
        <f t="shared" si="324"/>
        <v>0.26428235294117647</v>
      </c>
      <c r="Q172" s="147">
        <f t="shared" si="325"/>
        <v>0</v>
      </c>
      <c r="R172" s="147">
        <f t="shared" si="326"/>
        <v>0</v>
      </c>
      <c r="S172" s="147">
        <f t="shared" si="327"/>
        <v>0</v>
      </c>
      <c r="T172" s="200" t="str">
        <f t="shared" ref="T172" si="346">IF(J172="","",VLOOKUP(J172,Kengetal,13,FALSE))</f>
        <v>B</v>
      </c>
      <c r="U172" s="214">
        <v>1</v>
      </c>
      <c r="V172" s="214">
        <v>1</v>
      </c>
      <c r="W172" s="214">
        <v>1</v>
      </c>
      <c r="X172" s="214">
        <v>1</v>
      </c>
      <c r="Y172" s="142"/>
      <c r="Z172" s="149">
        <f t="shared" ref="Z172" si="347">I172*K172</f>
        <v>728</v>
      </c>
      <c r="AA172" s="150">
        <f t="shared" ref="AA172" si="348">L172+M172+N172+O172</f>
        <v>1.8499764705882353</v>
      </c>
      <c r="AB172" s="151"/>
      <c r="AE172" s="582">
        <f t="shared" ref="AE172" si="349">SUMIF(H172,"Linoleum",I172)</f>
        <v>0</v>
      </c>
      <c r="AF172" s="582">
        <f t="shared" ref="AF172" si="350">SUMIF(H172,"Tapijt",I172)</f>
        <v>7</v>
      </c>
    </row>
    <row r="173" spans="2:32" ht="18" customHeight="1">
      <c r="B173" s="220" t="s">
        <v>260</v>
      </c>
      <c r="C173" s="221" t="s">
        <v>57</v>
      </c>
      <c r="D173" s="143">
        <v>1</v>
      </c>
      <c r="E173" s="144" t="s">
        <v>431</v>
      </c>
      <c r="F173" s="63" t="s">
        <v>262</v>
      </c>
      <c r="G173" s="63" t="s">
        <v>263</v>
      </c>
      <c r="H173" s="51" t="s">
        <v>76</v>
      </c>
      <c r="I173" s="145">
        <v>7</v>
      </c>
      <c r="J173" s="213">
        <v>1104</v>
      </c>
      <c r="K173" s="146">
        <f t="shared" si="323"/>
        <v>104</v>
      </c>
      <c r="L173" s="147">
        <f t="shared" si="1"/>
        <v>1.8499764705882353</v>
      </c>
      <c r="M173" s="147">
        <f t="shared" si="2"/>
        <v>0</v>
      </c>
      <c r="N173" s="147">
        <f t="shared" si="3"/>
        <v>0</v>
      </c>
      <c r="O173" s="147">
        <f t="shared" si="4"/>
        <v>0</v>
      </c>
      <c r="P173" s="148">
        <f t="shared" si="324"/>
        <v>0.26428235294117647</v>
      </c>
      <c r="Q173" s="147">
        <f t="shared" si="325"/>
        <v>0</v>
      </c>
      <c r="R173" s="147">
        <f t="shared" si="326"/>
        <v>0</v>
      </c>
      <c r="S173" s="147">
        <f t="shared" si="327"/>
        <v>0</v>
      </c>
      <c r="T173" s="200" t="str">
        <f t="shared" si="328"/>
        <v>B</v>
      </c>
      <c r="U173" s="214">
        <v>1</v>
      </c>
      <c r="V173" s="214">
        <v>1</v>
      </c>
      <c r="W173" s="214">
        <v>1</v>
      </c>
      <c r="X173" s="214">
        <v>1</v>
      </c>
      <c r="Y173" s="142"/>
      <c r="Z173" s="149">
        <f t="shared" si="337"/>
        <v>728</v>
      </c>
      <c r="AA173" s="150">
        <f t="shared" si="338"/>
        <v>1.8499764705882353</v>
      </c>
      <c r="AB173" s="151"/>
      <c r="AE173" s="582">
        <f t="shared" si="339"/>
        <v>0</v>
      </c>
      <c r="AF173" s="582">
        <f t="shared" si="340"/>
        <v>7</v>
      </c>
    </row>
    <row r="174" spans="2:32" ht="18" customHeight="1">
      <c r="B174" s="220" t="s">
        <v>260</v>
      </c>
      <c r="C174" s="221" t="s">
        <v>57</v>
      </c>
      <c r="D174" s="143">
        <v>1</v>
      </c>
      <c r="E174" s="144">
        <v>1102</v>
      </c>
      <c r="F174" s="63" t="s">
        <v>262</v>
      </c>
      <c r="G174" s="63" t="s">
        <v>263</v>
      </c>
      <c r="H174" s="51" t="s">
        <v>76</v>
      </c>
      <c r="I174" s="145">
        <v>9.5</v>
      </c>
      <c r="J174" s="213">
        <v>1104</v>
      </c>
      <c r="K174" s="146">
        <f t="shared" ref="K174:K183" si="351">SUM(IF(J174="",0,VLOOKUP(J174,Kengetal,2)))</f>
        <v>104</v>
      </c>
      <c r="L174" s="147">
        <f t="shared" ref="L174:L183" si="352">P174*I174*U174</f>
        <v>2.5106823529411764</v>
      </c>
      <c r="M174" s="147">
        <f t="shared" ref="M174:M183" si="353">Q174*I174*V174</f>
        <v>0</v>
      </c>
      <c r="N174" s="147">
        <f t="shared" ref="N174:N183" si="354">R174*I174*W174</f>
        <v>0</v>
      </c>
      <c r="O174" s="147">
        <f t="shared" ref="O174:O183" si="355">S174*I174*X174</f>
        <v>0</v>
      </c>
      <c r="P174" s="148">
        <f t="shared" si="324"/>
        <v>0.26428235294117647</v>
      </c>
      <c r="Q174" s="147">
        <f t="shared" si="325"/>
        <v>0</v>
      </c>
      <c r="R174" s="147">
        <f t="shared" si="326"/>
        <v>0</v>
      </c>
      <c r="S174" s="147">
        <f t="shared" si="327"/>
        <v>0</v>
      </c>
      <c r="T174" s="200" t="str">
        <f t="shared" ref="T174:T183" si="356">IF(J174="","",VLOOKUP(J174,Kengetal,13,FALSE))</f>
        <v>B</v>
      </c>
      <c r="U174" s="214">
        <v>1</v>
      </c>
      <c r="V174" s="214">
        <v>1</v>
      </c>
      <c r="W174" s="214">
        <v>1</v>
      </c>
      <c r="X174" s="214">
        <v>1</v>
      </c>
      <c r="Y174" s="142"/>
      <c r="Z174" s="149">
        <f t="shared" si="333"/>
        <v>988</v>
      </c>
      <c r="AA174" s="150">
        <f t="shared" si="334"/>
        <v>2.5106823529411764</v>
      </c>
      <c r="AB174" s="151"/>
      <c r="AE174" s="582">
        <f t="shared" si="335"/>
        <v>0</v>
      </c>
      <c r="AF174" s="582">
        <f t="shared" si="336"/>
        <v>9.5</v>
      </c>
    </row>
    <row r="175" spans="2:32" ht="18" customHeight="1">
      <c r="B175" s="220" t="s">
        <v>260</v>
      </c>
      <c r="C175" s="221" t="s">
        <v>57</v>
      </c>
      <c r="D175" s="143">
        <v>1</v>
      </c>
      <c r="E175" s="144">
        <v>1103</v>
      </c>
      <c r="F175" s="63" t="s">
        <v>262</v>
      </c>
      <c r="G175" s="63" t="s">
        <v>263</v>
      </c>
      <c r="H175" s="51" t="s">
        <v>76</v>
      </c>
      <c r="I175" s="145">
        <v>11.2</v>
      </c>
      <c r="J175" s="213">
        <v>1104</v>
      </c>
      <c r="K175" s="146">
        <f t="shared" si="351"/>
        <v>104</v>
      </c>
      <c r="L175" s="147">
        <f t="shared" si="352"/>
        <v>2.9599623529411763</v>
      </c>
      <c r="M175" s="147">
        <f t="shared" si="353"/>
        <v>0</v>
      </c>
      <c r="N175" s="147">
        <f t="shared" si="354"/>
        <v>0</v>
      </c>
      <c r="O175" s="147">
        <f t="shared" si="355"/>
        <v>0</v>
      </c>
      <c r="P175" s="148">
        <f t="shared" si="324"/>
        <v>0.26428235294117647</v>
      </c>
      <c r="Q175" s="147">
        <f t="shared" si="325"/>
        <v>0</v>
      </c>
      <c r="R175" s="147">
        <f t="shared" si="326"/>
        <v>0</v>
      </c>
      <c r="S175" s="147">
        <f t="shared" si="327"/>
        <v>0</v>
      </c>
      <c r="T175" s="200" t="str">
        <f t="shared" si="356"/>
        <v>B</v>
      </c>
      <c r="U175" s="214">
        <v>1</v>
      </c>
      <c r="V175" s="214">
        <v>1</v>
      </c>
      <c r="W175" s="214">
        <v>1</v>
      </c>
      <c r="X175" s="214">
        <v>1</v>
      </c>
      <c r="Y175" s="142"/>
      <c r="Z175" s="149">
        <f t="shared" si="333"/>
        <v>1164.8</v>
      </c>
      <c r="AA175" s="150">
        <f t="shared" si="334"/>
        <v>2.9599623529411763</v>
      </c>
      <c r="AB175" s="151"/>
      <c r="AE175" s="582">
        <f t="shared" si="335"/>
        <v>0</v>
      </c>
      <c r="AF175" s="582">
        <f t="shared" si="336"/>
        <v>11.2</v>
      </c>
    </row>
    <row r="176" spans="2:32" ht="18" customHeight="1">
      <c r="B176" s="220" t="s">
        <v>260</v>
      </c>
      <c r="C176" s="221" t="s">
        <v>57</v>
      </c>
      <c r="D176" s="143">
        <v>1</v>
      </c>
      <c r="E176" s="144">
        <v>1104</v>
      </c>
      <c r="F176" s="63" t="s">
        <v>262</v>
      </c>
      <c r="G176" s="63" t="s">
        <v>263</v>
      </c>
      <c r="H176" s="51" t="s">
        <v>76</v>
      </c>
      <c r="I176" s="145">
        <v>20.3</v>
      </c>
      <c r="J176" s="213">
        <v>1104</v>
      </c>
      <c r="K176" s="146">
        <f t="shared" si="351"/>
        <v>104</v>
      </c>
      <c r="L176" s="147">
        <f t="shared" si="352"/>
        <v>5.3649317647058821</v>
      </c>
      <c r="M176" s="147">
        <f t="shared" si="353"/>
        <v>0</v>
      </c>
      <c r="N176" s="147">
        <f t="shared" si="354"/>
        <v>0</v>
      </c>
      <c r="O176" s="147">
        <f t="shared" si="355"/>
        <v>0</v>
      </c>
      <c r="P176" s="148">
        <f t="shared" si="324"/>
        <v>0.26428235294117647</v>
      </c>
      <c r="Q176" s="147">
        <f t="shared" si="325"/>
        <v>0</v>
      </c>
      <c r="R176" s="147">
        <f t="shared" si="326"/>
        <v>0</v>
      </c>
      <c r="S176" s="147">
        <f t="shared" si="327"/>
        <v>0</v>
      </c>
      <c r="T176" s="200" t="str">
        <f t="shared" si="356"/>
        <v>B</v>
      </c>
      <c r="U176" s="214">
        <v>1</v>
      </c>
      <c r="V176" s="214">
        <v>1</v>
      </c>
      <c r="W176" s="214">
        <v>1</v>
      </c>
      <c r="X176" s="214">
        <v>1</v>
      </c>
      <c r="Y176" s="142"/>
      <c r="Z176" s="149">
        <f t="shared" si="333"/>
        <v>2111.2000000000003</v>
      </c>
      <c r="AA176" s="150">
        <f t="shared" si="334"/>
        <v>5.3649317647058821</v>
      </c>
      <c r="AB176" s="151"/>
      <c r="AE176" s="582">
        <f t="shared" si="335"/>
        <v>0</v>
      </c>
      <c r="AF176" s="582">
        <f t="shared" si="336"/>
        <v>20.3</v>
      </c>
    </row>
    <row r="177" spans="2:32" ht="18" customHeight="1">
      <c r="B177" s="220" t="s">
        <v>260</v>
      </c>
      <c r="C177" s="221" t="s">
        <v>57</v>
      </c>
      <c r="D177" s="143">
        <v>1</v>
      </c>
      <c r="E177" s="144">
        <v>1105</v>
      </c>
      <c r="F177" s="63" t="s">
        <v>410</v>
      </c>
      <c r="G177" s="63" t="s">
        <v>271</v>
      </c>
      <c r="H177" s="51" t="s">
        <v>76</v>
      </c>
      <c r="I177" s="145">
        <v>4.5999999999999996</v>
      </c>
      <c r="J177" s="213">
        <v>3104</v>
      </c>
      <c r="K177" s="146">
        <f t="shared" si="351"/>
        <v>104</v>
      </c>
      <c r="L177" s="147">
        <f t="shared" si="352"/>
        <v>0.84198399999999984</v>
      </c>
      <c r="M177" s="147">
        <f t="shared" si="353"/>
        <v>0</v>
      </c>
      <c r="N177" s="147">
        <f t="shared" si="354"/>
        <v>0</v>
      </c>
      <c r="O177" s="147">
        <f t="shared" si="355"/>
        <v>0</v>
      </c>
      <c r="P177" s="148">
        <f t="shared" si="324"/>
        <v>0.18303999999999998</v>
      </c>
      <c r="Q177" s="147">
        <f t="shared" si="325"/>
        <v>0</v>
      </c>
      <c r="R177" s="147">
        <f t="shared" si="326"/>
        <v>0</v>
      </c>
      <c r="S177" s="147">
        <f t="shared" si="327"/>
        <v>0</v>
      </c>
      <c r="T177" s="200" t="str">
        <f t="shared" si="356"/>
        <v>V</v>
      </c>
      <c r="U177" s="214">
        <v>1</v>
      </c>
      <c r="V177" s="214">
        <v>1</v>
      </c>
      <c r="W177" s="214">
        <v>1</v>
      </c>
      <c r="X177" s="214">
        <v>1</v>
      </c>
      <c r="Y177" s="142"/>
      <c r="Z177" s="149">
        <f t="shared" si="333"/>
        <v>478.4</v>
      </c>
      <c r="AA177" s="150">
        <f t="shared" si="334"/>
        <v>0.84198399999999984</v>
      </c>
      <c r="AB177" s="151"/>
      <c r="AE177" s="582">
        <f t="shared" si="335"/>
        <v>0</v>
      </c>
      <c r="AF177" s="582">
        <f t="shared" si="336"/>
        <v>4.5999999999999996</v>
      </c>
    </row>
    <row r="178" spans="2:32" ht="18" customHeight="1">
      <c r="B178" s="220" t="s">
        <v>260</v>
      </c>
      <c r="C178" s="221" t="s">
        <v>57</v>
      </c>
      <c r="D178" s="143">
        <v>1</v>
      </c>
      <c r="E178" s="144">
        <v>1106</v>
      </c>
      <c r="F178" s="63" t="s">
        <v>262</v>
      </c>
      <c r="G178" s="63" t="s">
        <v>263</v>
      </c>
      <c r="H178" s="51" t="s">
        <v>76</v>
      </c>
      <c r="I178" s="145">
        <v>4</v>
      </c>
      <c r="J178" s="213">
        <v>1104</v>
      </c>
      <c r="K178" s="146">
        <f t="shared" si="351"/>
        <v>104</v>
      </c>
      <c r="L178" s="147">
        <f t="shared" si="352"/>
        <v>1.0571294117647059</v>
      </c>
      <c r="M178" s="147">
        <f t="shared" si="353"/>
        <v>0</v>
      </c>
      <c r="N178" s="147">
        <f t="shared" si="354"/>
        <v>0</v>
      </c>
      <c r="O178" s="147">
        <f t="shared" si="355"/>
        <v>0</v>
      </c>
      <c r="P178" s="148">
        <f t="shared" si="324"/>
        <v>0.26428235294117647</v>
      </c>
      <c r="Q178" s="147">
        <f t="shared" si="325"/>
        <v>0</v>
      </c>
      <c r="R178" s="147">
        <f t="shared" si="326"/>
        <v>0</v>
      </c>
      <c r="S178" s="147">
        <f t="shared" si="327"/>
        <v>0</v>
      </c>
      <c r="T178" s="200" t="str">
        <f t="shared" si="356"/>
        <v>B</v>
      </c>
      <c r="U178" s="214">
        <v>1</v>
      </c>
      <c r="V178" s="214">
        <v>1</v>
      </c>
      <c r="W178" s="214">
        <v>1</v>
      </c>
      <c r="X178" s="214">
        <v>1</v>
      </c>
      <c r="Y178" s="142"/>
      <c r="Z178" s="149">
        <f t="shared" si="333"/>
        <v>416</v>
      </c>
      <c r="AA178" s="150">
        <f t="shared" si="334"/>
        <v>1.0571294117647059</v>
      </c>
      <c r="AB178" s="151"/>
      <c r="AE178" s="582">
        <f t="shared" si="335"/>
        <v>0</v>
      </c>
      <c r="AF178" s="582">
        <f t="shared" si="336"/>
        <v>4</v>
      </c>
    </row>
    <row r="179" spans="2:32" ht="18" customHeight="1">
      <c r="B179" s="220" t="s">
        <v>260</v>
      </c>
      <c r="C179" s="221" t="s">
        <v>57</v>
      </c>
      <c r="D179" s="143">
        <v>1</v>
      </c>
      <c r="E179" s="144">
        <v>1107</v>
      </c>
      <c r="F179" s="63" t="s">
        <v>262</v>
      </c>
      <c r="G179" s="63" t="s">
        <v>263</v>
      </c>
      <c r="H179" s="51" t="s">
        <v>76</v>
      </c>
      <c r="I179" s="145">
        <v>3.4</v>
      </c>
      <c r="J179" s="213">
        <v>1104</v>
      </c>
      <c r="K179" s="146">
        <f t="shared" si="351"/>
        <v>104</v>
      </c>
      <c r="L179" s="147">
        <f t="shared" si="352"/>
        <v>0.89855999999999991</v>
      </c>
      <c r="M179" s="147">
        <f t="shared" si="353"/>
        <v>0</v>
      </c>
      <c r="N179" s="147">
        <f t="shared" si="354"/>
        <v>0</v>
      </c>
      <c r="O179" s="147">
        <f t="shared" si="355"/>
        <v>0</v>
      </c>
      <c r="P179" s="148">
        <f t="shared" si="324"/>
        <v>0.26428235294117647</v>
      </c>
      <c r="Q179" s="147">
        <f t="shared" si="325"/>
        <v>0</v>
      </c>
      <c r="R179" s="147">
        <f t="shared" si="326"/>
        <v>0</v>
      </c>
      <c r="S179" s="147">
        <f t="shared" si="327"/>
        <v>0</v>
      </c>
      <c r="T179" s="200" t="str">
        <f t="shared" si="356"/>
        <v>B</v>
      </c>
      <c r="U179" s="214">
        <v>1</v>
      </c>
      <c r="V179" s="214">
        <v>1</v>
      </c>
      <c r="W179" s="214">
        <v>1</v>
      </c>
      <c r="X179" s="214">
        <v>1</v>
      </c>
      <c r="Y179" s="142"/>
      <c r="Z179" s="149">
        <f t="shared" si="333"/>
        <v>353.59999999999997</v>
      </c>
      <c r="AA179" s="150">
        <f t="shared" si="334"/>
        <v>0.89855999999999991</v>
      </c>
      <c r="AB179" s="151"/>
      <c r="AE179" s="582">
        <f t="shared" si="335"/>
        <v>0</v>
      </c>
      <c r="AF179" s="582">
        <f t="shared" si="336"/>
        <v>3.4</v>
      </c>
    </row>
    <row r="180" spans="2:32" ht="18" customHeight="1">
      <c r="B180" s="220" t="s">
        <v>260</v>
      </c>
      <c r="C180" s="221" t="s">
        <v>57</v>
      </c>
      <c r="D180" s="143">
        <v>1</v>
      </c>
      <c r="E180" s="144">
        <v>1108</v>
      </c>
      <c r="F180" s="63" t="s">
        <v>262</v>
      </c>
      <c r="G180" s="63" t="s">
        <v>263</v>
      </c>
      <c r="H180" s="51" t="s">
        <v>76</v>
      </c>
      <c r="I180" s="145">
        <v>3.4</v>
      </c>
      <c r="J180" s="213">
        <v>1104</v>
      </c>
      <c r="K180" s="146">
        <f t="shared" si="351"/>
        <v>104</v>
      </c>
      <c r="L180" s="147">
        <f t="shared" si="352"/>
        <v>0.89855999999999991</v>
      </c>
      <c r="M180" s="147">
        <f t="shared" si="353"/>
        <v>0</v>
      </c>
      <c r="N180" s="147">
        <f t="shared" si="354"/>
        <v>0</v>
      </c>
      <c r="O180" s="147">
        <f t="shared" si="355"/>
        <v>0</v>
      </c>
      <c r="P180" s="148">
        <f t="shared" si="324"/>
        <v>0.26428235294117647</v>
      </c>
      <c r="Q180" s="147">
        <f t="shared" si="325"/>
        <v>0</v>
      </c>
      <c r="R180" s="147">
        <f t="shared" si="326"/>
        <v>0</v>
      </c>
      <c r="S180" s="147">
        <f t="shared" si="327"/>
        <v>0</v>
      </c>
      <c r="T180" s="200" t="str">
        <f t="shared" si="356"/>
        <v>B</v>
      </c>
      <c r="U180" s="214">
        <v>1</v>
      </c>
      <c r="V180" s="214">
        <v>1</v>
      </c>
      <c r="W180" s="214">
        <v>1</v>
      </c>
      <c r="X180" s="214">
        <v>1</v>
      </c>
      <c r="Y180" s="142"/>
      <c r="Z180" s="149">
        <f t="shared" si="333"/>
        <v>353.59999999999997</v>
      </c>
      <c r="AA180" s="150">
        <f t="shared" si="334"/>
        <v>0.89855999999999991</v>
      </c>
      <c r="AB180" s="151"/>
      <c r="AE180" s="582">
        <f t="shared" si="335"/>
        <v>0</v>
      </c>
      <c r="AF180" s="582">
        <f t="shared" si="336"/>
        <v>3.4</v>
      </c>
    </row>
    <row r="181" spans="2:32" ht="18" customHeight="1">
      <c r="B181" s="220" t="s">
        <v>260</v>
      </c>
      <c r="C181" s="221" t="s">
        <v>57</v>
      </c>
      <c r="D181" s="143">
        <v>1</v>
      </c>
      <c r="E181" s="144">
        <v>1109</v>
      </c>
      <c r="F181" s="63" t="s">
        <v>262</v>
      </c>
      <c r="G181" s="63" t="s">
        <v>263</v>
      </c>
      <c r="H181" s="51" t="s">
        <v>76</v>
      </c>
      <c r="I181" s="145">
        <v>7.2</v>
      </c>
      <c r="J181" s="213">
        <v>1104</v>
      </c>
      <c r="K181" s="146">
        <f t="shared" si="351"/>
        <v>104</v>
      </c>
      <c r="L181" s="147">
        <f t="shared" si="352"/>
        <v>1.9028329411764706</v>
      </c>
      <c r="M181" s="147">
        <f t="shared" si="353"/>
        <v>0</v>
      </c>
      <c r="N181" s="147">
        <f t="shared" si="354"/>
        <v>0</v>
      </c>
      <c r="O181" s="147">
        <f t="shared" si="355"/>
        <v>0</v>
      </c>
      <c r="P181" s="148">
        <f t="shared" si="324"/>
        <v>0.26428235294117647</v>
      </c>
      <c r="Q181" s="147">
        <f t="shared" si="325"/>
        <v>0</v>
      </c>
      <c r="R181" s="147">
        <f t="shared" si="326"/>
        <v>0</v>
      </c>
      <c r="S181" s="147">
        <f t="shared" si="327"/>
        <v>0</v>
      </c>
      <c r="T181" s="200" t="str">
        <f t="shared" si="356"/>
        <v>B</v>
      </c>
      <c r="U181" s="214">
        <v>1</v>
      </c>
      <c r="V181" s="214">
        <v>1</v>
      </c>
      <c r="W181" s="214">
        <v>1</v>
      </c>
      <c r="X181" s="214">
        <v>1</v>
      </c>
      <c r="Y181" s="142"/>
      <c r="Z181" s="149">
        <f t="shared" si="333"/>
        <v>748.80000000000007</v>
      </c>
      <c r="AA181" s="150">
        <f t="shared" si="334"/>
        <v>1.9028329411764706</v>
      </c>
      <c r="AB181" s="151"/>
      <c r="AE181" s="582">
        <f t="shared" si="335"/>
        <v>0</v>
      </c>
      <c r="AF181" s="582">
        <f t="shared" si="336"/>
        <v>7.2</v>
      </c>
    </row>
    <row r="182" spans="2:32" ht="18" customHeight="1">
      <c r="B182" s="220" t="s">
        <v>260</v>
      </c>
      <c r="C182" s="221" t="s">
        <v>57</v>
      </c>
      <c r="D182" s="143">
        <v>1</v>
      </c>
      <c r="E182" s="144">
        <v>1110</v>
      </c>
      <c r="F182" s="63" t="s">
        <v>262</v>
      </c>
      <c r="G182" s="63" t="s">
        <v>263</v>
      </c>
      <c r="H182" s="51" t="s">
        <v>76</v>
      </c>
      <c r="I182" s="145">
        <v>7.2</v>
      </c>
      <c r="J182" s="213">
        <v>1104</v>
      </c>
      <c r="K182" s="146">
        <f t="shared" si="351"/>
        <v>104</v>
      </c>
      <c r="L182" s="147">
        <f t="shared" si="352"/>
        <v>1.9028329411764706</v>
      </c>
      <c r="M182" s="147">
        <f t="shared" si="353"/>
        <v>0</v>
      </c>
      <c r="N182" s="147">
        <f t="shared" si="354"/>
        <v>0</v>
      </c>
      <c r="O182" s="147">
        <f t="shared" si="355"/>
        <v>0</v>
      </c>
      <c r="P182" s="148">
        <f t="shared" si="324"/>
        <v>0.26428235294117647</v>
      </c>
      <c r="Q182" s="147">
        <f t="shared" si="325"/>
        <v>0</v>
      </c>
      <c r="R182" s="147">
        <f t="shared" si="326"/>
        <v>0</v>
      </c>
      <c r="S182" s="147">
        <f t="shared" si="327"/>
        <v>0</v>
      </c>
      <c r="T182" s="200" t="str">
        <f t="shared" si="356"/>
        <v>B</v>
      </c>
      <c r="U182" s="214">
        <v>1</v>
      </c>
      <c r="V182" s="214">
        <v>1</v>
      </c>
      <c r="W182" s="214">
        <v>1</v>
      </c>
      <c r="X182" s="214">
        <v>1</v>
      </c>
      <c r="Y182" s="142"/>
      <c r="Z182" s="149">
        <f t="shared" si="333"/>
        <v>748.80000000000007</v>
      </c>
      <c r="AA182" s="150">
        <f t="shared" si="334"/>
        <v>1.9028329411764706</v>
      </c>
      <c r="AB182" s="151"/>
      <c r="AE182" s="582">
        <f t="shared" si="335"/>
        <v>0</v>
      </c>
      <c r="AF182" s="582">
        <f t="shared" si="336"/>
        <v>7.2</v>
      </c>
    </row>
    <row r="183" spans="2:32" ht="18" customHeight="1">
      <c r="B183" s="220" t="s">
        <v>260</v>
      </c>
      <c r="C183" s="221" t="s">
        <v>57</v>
      </c>
      <c r="D183" s="143">
        <v>1</v>
      </c>
      <c r="E183" s="144">
        <v>1111</v>
      </c>
      <c r="F183" s="63" t="s">
        <v>383</v>
      </c>
      <c r="G183" s="63" t="s">
        <v>263</v>
      </c>
      <c r="H183" s="51" t="s">
        <v>76</v>
      </c>
      <c r="I183" s="145">
        <v>105</v>
      </c>
      <c r="J183" s="213">
        <v>1104</v>
      </c>
      <c r="K183" s="146">
        <f t="shared" si="351"/>
        <v>104</v>
      </c>
      <c r="L183" s="147">
        <f t="shared" si="352"/>
        <v>27.74964705882353</v>
      </c>
      <c r="M183" s="147">
        <f t="shared" si="353"/>
        <v>0</v>
      </c>
      <c r="N183" s="147">
        <f t="shared" si="354"/>
        <v>0</v>
      </c>
      <c r="O183" s="147">
        <f t="shared" si="355"/>
        <v>0</v>
      </c>
      <c r="P183" s="148">
        <f t="shared" si="324"/>
        <v>0.26428235294117647</v>
      </c>
      <c r="Q183" s="147">
        <f t="shared" si="325"/>
        <v>0</v>
      </c>
      <c r="R183" s="147">
        <f t="shared" si="326"/>
        <v>0</v>
      </c>
      <c r="S183" s="147">
        <f t="shared" si="327"/>
        <v>0</v>
      </c>
      <c r="T183" s="200" t="str">
        <f t="shared" si="356"/>
        <v>B</v>
      </c>
      <c r="U183" s="214">
        <v>1</v>
      </c>
      <c r="V183" s="214">
        <v>1</v>
      </c>
      <c r="W183" s="214">
        <v>1</v>
      </c>
      <c r="X183" s="214">
        <v>1</v>
      </c>
      <c r="Y183" s="142"/>
      <c r="Z183" s="149">
        <f t="shared" si="333"/>
        <v>10920</v>
      </c>
      <c r="AA183" s="150">
        <f t="shared" si="334"/>
        <v>27.74964705882353</v>
      </c>
      <c r="AB183" s="151"/>
      <c r="AE183" s="582">
        <f t="shared" si="335"/>
        <v>0</v>
      </c>
      <c r="AF183" s="582">
        <f t="shared" si="336"/>
        <v>105</v>
      </c>
    </row>
    <row r="184" spans="2:32" ht="18" customHeight="1">
      <c r="B184" s="220" t="s">
        <v>260</v>
      </c>
      <c r="C184" s="221" t="s">
        <v>57</v>
      </c>
      <c r="D184" s="143">
        <v>2</v>
      </c>
      <c r="E184" s="144">
        <v>201</v>
      </c>
      <c r="F184" s="63" t="s">
        <v>262</v>
      </c>
      <c r="G184" s="63" t="s">
        <v>263</v>
      </c>
      <c r="H184" s="51" t="s">
        <v>76</v>
      </c>
      <c r="I184" s="145">
        <v>108.2</v>
      </c>
      <c r="J184" s="213">
        <v>1104</v>
      </c>
      <c r="K184" s="146">
        <f t="shared" ref="K184" si="357">SUM(IF(J184="",0,VLOOKUP(J184,Kengetal,2)))</f>
        <v>104</v>
      </c>
      <c r="L184" s="147">
        <f t="shared" ref="L184" si="358">P184*I184*U184</f>
        <v>28.595350588235295</v>
      </c>
      <c r="M184" s="147">
        <f t="shared" ref="M184" si="359">Q184*I184*V184</f>
        <v>0</v>
      </c>
      <c r="N184" s="147">
        <f t="shared" ref="N184" si="360">R184*I184*W184</f>
        <v>0</v>
      </c>
      <c r="O184" s="147">
        <f t="shared" ref="O184" si="361">S184*I184*X184</f>
        <v>0</v>
      </c>
      <c r="P184" s="148">
        <f t="shared" si="324"/>
        <v>0.26428235294117647</v>
      </c>
      <c r="Q184" s="147">
        <f t="shared" si="325"/>
        <v>0</v>
      </c>
      <c r="R184" s="147">
        <f t="shared" si="326"/>
        <v>0</v>
      </c>
      <c r="S184" s="147">
        <f t="shared" si="327"/>
        <v>0</v>
      </c>
      <c r="T184" s="200" t="str">
        <f t="shared" ref="T184" si="362">IF(J184="","",VLOOKUP(J184,Kengetal,13,FALSE))</f>
        <v>B</v>
      </c>
      <c r="U184" s="214">
        <v>1</v>
      </c>
      <c r="V184" s="214">
        <v>1</v>
      </c>
      <c r="W184" s="214">
        <v>1</v>
      </c>
      <c r="X184" s="214">
        <v>1</v>
      </c>
      <c r="Y184" s="142"/>
      <c r="Z184" s="149">
        <f t="shared" si="329"/>
        <v>11252.800000000001</v>
      </c>
      <c r="AA184" s="150">
        <f t="shared" si="330"/>
        <v>28.595350588235295</v>
      </c>
      <c r="AB184" s="151"/>
      <c r="AE184" s="582">
        <f t="shared" si="331"/>
        <v>0</v>
      </c>
      <c r="AF184" s="582">
        <f t="shared" si="332"/>
        <v>108.2</v>
      </c>
    </row>
    <row r="185" spans="2:32" ht="18" customHeight="1">
      <c r="B185" s="220" t="s">
        <v>260</v>
      </c>
      <c r="C185" s="221" t="s">
        <v>57</v>
      </c>
      <c r="D185" s="143">
        <v>2</v>
      </c>
      <c r="E185" s="144">
        <v>203</v>
      </c>
      <c r="F185" s="63" t="s">
        <v>262</v>
      </c>
      <c r="G185" s="63" t="s">
        <v>263</v>
      </c>
      <c r="H185" s="51" t="s">
        <v>76</v>
      </c>
      <c r="I185" s="145">
        <v>43.5</v>
      </c>
      <c r="J185" s="213">
        <v>1104</v>
      </c>
      <c r="K185" s="146">
        <f t="shared" si="323"/>
        <v>104</v>
      </c>
      <c r="L185" s="147">
        <f t="shared" si="1"/>
        <v>11.496282352941176</v>
      </c>
      <c r="M185" s="147">
        <f t="shared" si="2"/>
        <v>0</v>
      </c>
      <c r="N185" s="147">
        <f t="shared" si="3"/>
        <v>0</v>
      </c>
      <c r="O185" s="147">
        <f t="shared" si="4"/>
        <v>0</v>
      </c>
      <c r="P185" s="148">
        <f t="shared" si="324"/>
        <v>0.26428235294117647</v>
      </c>
      <c r="Q185" s="147">
        <f t="shared" si="325"/>
        <v>0</v>
      </c>
      <c r="R185" s="147">
        <f t="shared" si="326"/>
        <v>0</v>
      </c>
      <c r="S185" s="147">
        <f t="shared" si="327"/>
        <v>0</v>
      </c>
      <c r="T185" s="200" t="str">
        <f t="shared" si="328"/>
        <v>B</v>
      </c>
      <c r="U185" s="214">
        <v>1</v>
      </c>
      <c r="V185" s="214">
        <v>1</v>
      </c>
      <c r="W185" s="214">
        <v>1</v>
      </c>
      <c r="X185" s="214">
        <v>1</v>
      </c>
      <c r="Y185" s="142"/>
      <c r="Z185" s="149">
        <f t="shared" si="329"/>
        <v>4524</v>
      </c>
      <c r="AA185" s="150">
        <f t="shared" si="330"/>
        <v>11.496282352941176</v>
      </c>
      <c r="AB185" s="151"/>
      <c r="AE185" s="582">
        <f t="shared" si="331"/>
        <v>0</v>
      </c>
      <c r="AF185" s="582">
        <f t="shared" si="332"/>
        <v>43.5</v>
      </c>
    </row>
    <row r="186" spans="2:32" ht="18" customHeight="1">
      <c r="B186" s="220" t="s">
        <v>260</v>
      </c>
      <c r="C186" s="221" t="s">
        <v>57</v>
      </c>
      <c r="D186" s="143">
        <v>2</v>
      </c>
      <c r="E186" s="144">
        <v>205</v>
      </c>
      <c r="F186" s="63" t="s">
        <v>262</v>
      </c>
      <c r="G186" s="63" t="s">
        <v>263</v>
      </c>
      <c r="H186" s="51" t="s">
        <v>76</v>
      </c>
      <c r="I186" s="145">
        <v>12.7</v>
      </c>
      <c r="J186" s="213">
        <v>1104</v>
      </c>
      <c r="K186" s="146">
        <f t="shared" si="323"/>
        <v>104</v>
      </c>
      <c r="L186" s="147">
        <f t="shared" si="1"/>
        <v>3.3563858823529409</v>
      </c>
      <c r="M186" s="147">
        <f t="shared" si="2"/>
        <v>0</v>
      </c>
      <c r="N186" s="147">
        <f t="shared" si="3"/>
        <v>0</v>
      </c>
      <c r="O186" s="147">
        <f t="shared" si="4"/>
        <v>0</v>
      </c>
      <c r="P186" s="148">
        <f t="shared" si="324"/>
        <v>0.26428235294117647</v>
      </c>
      <c r="Q186" s="147">
        <f t="shared" si="325"/>
        <v>0</v>
      </c>
      <c r="R186" s="147">
        <f t="shared" si="326"/>
        <v>0</v>
      </c>
      <c r="S186" s="147">
        <f t="shared" si="327"/>
        <v>0</v>
      </c>
      <c r="T186" s="200" t="str">
        <f t="shared" si="328"/>
        <v>B</v>
      </c>
      <c r="U186" s="214">
        <v>1</v>
      </c>
      <c r="V186" s="214">
        <v>1</v>
      </c>
      <c r="W186" s="214">
        <v>1</v>
      </c>
      <c r="X186" s="214">
        <v>1</v>
      </c>
      <c r="Y186" s="142"/>
      <c r="Z186" s="149">
        <f t="shared" si="329"/>
        <v>1320.8</v>
      </c>
      <c r="AA186" s="150">
        <f t="shared" si="330"/>
        <v>3.3563858823529409</v>
      </c>
      <c r="AB186" s="151"/>
      <c r="AE186" s="582">
        <f t="shared" si="331"/>
        <v>0</v>
      </c>
      <c r="AF186" s="582">
        <f t="shared" si="332"/>
        <v>12.7</v>
      </c>
    </row>
    <row r="187" spans="2:32" ht="18" customHeight="1">
      <c r="B187" s="220" t="s">
        <v>260</v>
      </c>
      <c r="C187" s="221" t="s">
        <v>57</v>
      </c>
      <c r="D187" s="143">
        <v>2</v>
      </c>
      <c r="E187" s="144">
        <v>207</v>
      </c>
      <c r="F187" s="63" t="s">
        <v>262</v>
      </c>
      <c r="G187" s="63" t="s">
        <v>263</v>
      </c>
      <c r="H187" s="51" t="s">
        <v>76</v>
      </c>
      <c r="I187" s="145">
        <v>79.099999999999994</v>
      </c>
      <c r="J187" s="213">
        <v>1104</v>
      </c>
      <c r="K187" s="146">
        <f t="shared" si="323"/>
        <v>104</v>
      </c>
      <c r="L187" s="147">
        <f t="shared" si="1"/>
        <v>20.904734117647056</v>
      </c>
      <c r="M187" s="147">
        <f t="shared" si="2"/>
        <v>0</v>
      </c>
      <c r="N187" s="147">
        <f t="shared" si="3"/>
        <v>0</v>
      </c>
      <c r="O187" s="147">
        <f t="shared" si="4"/>
        <v>0</v>
      </c>
      <c r="P187" s="148">
        <f t="shared" si="324"/>
        <v>0.26428235294117647</v>
      </c>
      <c r="Q187" s="147">
        <f t="shared" si="325"/>
        <v>0</v>
      </c>
      <c r="R187" s="147">
        <f t="shared" si="326"/>
        <v>0</v>
      </c>
      <c r="S187" s="147">
        <f t="shared" si="327"/>
        <v>0</v>
      </c>
      <c r="T187" s="200" t="str">
        <f t="shared" si="328"/>
        <v>B</v>
      </c>
      <c r="U187" s="214">
        <v>1</v>
      </c>
      <c r="V187" s="214">
        <v>1</v>
      </c>
      <c r="W187" s="214">
        <v>1</v>
      </c>
      <c r="X187" s="214">
        <v>1</v>
      </c>
      <c r="Y187" s="142"/>
      <c r="Z187" s="149">
        <f t="shared" si="329"/>
        <v>8226.4</v>
      </c>
      <c r="AA187" s="150">
        <f t="shared" si="330"/>
        <v>20.904734117647056</v>
      </c>
      <c r="AB187" s="151"/>
      <c r="AE187" s="582">
        <f t="shared" si="331"/>
        <v>0</v>
      </c>
      <c r="AF187" s="582">
        <f t="shared" si="332"/>
        <v>79.099999999999994</v>
      </c>
    </row>
    <row r="188" spans="2:32" ht="18" customHeight="1">
      <c r="B188" s="220" t="s">
        <v>260</v>
      </c>
      <c r="C188" s="221" t="s">
        <v>57</v>
      </c>
      <c r="D188" s="143">
        <v>2</v>
      </c>
      <c r="E188" s="144">
        <v>219</v>
      </c>
      <c r="F188" s="63" t="s">
        <v>262</v>
      </c>
      <c r="G188" s="63" t="s">
        <v>263</v>
      </c>
      <c r="H188" s="51" t="s">
        <v>76</v>
      </c>
      <c r="I188" s="145">
        <v>14.7</v>
      </c>
      <c r="J188" s="213">
        <v>1104</v>
      </c>
      <c r="K188" s="146">
        <f t="shared" si="323"/>
        <v>104</v>
      </c>
      <c r="L188" s="147">
        <f t="shared" si="1"/>
        <v>3.8849505882352937</v>
      </c>
      <c r="M188" s="147">
        <f t="shared" si="2"/>
        <v>0</v>
      </c>
      <c r="N188" s="147">
        <f t="shared" si="3"/>
        <v>0</v>
      </c>
      <c r="O188" s="147">
        <f t="shared" si="4"/>
        <v>0</v>
      </c>
      <c r="P188" s="148">
        <f t="shared" si="324"/>
        <v>0.26428235294117647</v>
      </c>
      <c r="Q188" s="147">
        <f t="shared" si="325"/>
        <v>0</v>
      </c>
      <c r="R188" s="147">
        <f t="shared" si="326"/>
        <v>0</v>
      </c>
      <c r="S188" s="147">
        <f t="shared" si="327"/>
        <v>0</v>
      </c>
      <c r="T188" s="200" t="str">
        <f t="shared" si="328"/>
        <v>B</v>
      </c>
      <c r="U188" s="214">
        <v>1</v>
      </c>
      <c r="V188" s="214">
        <v>1</v>
      </c>
      <c r="W188" s="214">
        <v>1</v>
      </c>
      <c r="X188" s="214">
        <v>1</v>
      </c>
      <c r="Y188" s="142"/>
      <c r="Z188" s="149">
        <f t="shared" si="329"/>
        <v>1528.8</v>
      </c>
      <c r="AA188" s="150">
        <f t="shared" si="330"/>
        <v>3.8849505882352937</v>
      </c>
      <c r="AB188" s="151"/>
      <c r="AE188" s="582">
        <f t="shared" si="331"/>
        <v>0</v>
      </c>
      <c r="AF188" s="582">
        <f t="shared" si="332"/>
        <v>14.7</v>
      </c>
    </row>
    <row r="189" spans="2:32" ht="18" customHeight="1">
      <c r="B189" s="220" t="s">
        <v>260</v>
      </c>
      <c r="C189" s="221" t="s">
        <v>57</v>
      </c>
      <c r="D189" s="143">
        <v>2</v>
      </c>
      <c r="E189" s="144">
        <v>230</v>
      </c>
      <c r="F189" s="63" t="s">
        <v>353</v>
      </c>
      <c r="G189" s="63" t="s">
        <v>271</v>
      </c>
      <c r="H189" s="51" t="s">
        <v>76</v>
      </c>
      <c r="I189" s="145">
        <v>43.3</v>
      </c>
      <c r="J189" s="213">
        <v>1104</v>
      </c>
      <c r="K189" s="146">
        <f t="shared" si="323"/>
        <v>104</v>
      </c>
      <c r="L189" s="147">
        <f t="shared" si="1"/>
        <v>11.44342588235294</v>
      </c>
      <c r="M189" s="147">
        <f t="shared" si="2"/>
        <v>0</v>
      </c>
      <c r="N189" s="147">
        <f t="shared" si="3"/>
        <v>0</v>
      </c>
      <c r="O189" s="147">
        <f t="shared" si="4"/>
        <v>0</v>
      </c>
      <c r="P189" s="148">
        <f t="shared" si="324"/>
        <v>0.26428235294117647</v>
      </c>
      <c r="Q189" s="147">
        <f t="shared" si="325"/>
        <v>0</v>
      </c>
      <c r="R189" s="147">
        <f t="shared" si="326"/>
        <v>0</v>
      </c>
      <c r="S189" s="147">
        <f t="shared" si="327"/>
        <v>0</v>
      </c>
      <c r="T189" s="200" t="str">
        <f t="shared" si="328"/>
        <v>B</v>
      </c>
      <c r="U189" s="214">
        <v>1</v>
      </c>
      <c r="V189" s="214">
        <v>1</v>
      </c>
      <c r="W189" s="214">
        <v>1</v>
      </c>
      <c r="X189" s="214">
        <v>1</v>
      </c>
      <c r="Y189" s="142"/>
      <c r="Z189" s="149">
        <f t="shared" si="329"/>
        <v>4503.2</v>
      </c>
      <c r="AA189" s="150">
        <f t="shared" si="330"/>
        <v>11.44342588235294</v>
      </c>
      <c r="AB189" s="151"/>
      <c r="AE189" s="582">
        <f t="shared" si="331"/>
        <v>0</v>
      </c>
      <c r="AF189" s="582">
        <f t="shared" si="332"/>
        <v>43.3</v>
      </c>
    </row>
    <row r="190" spans="2:32" ht="18" customHeight="1">
      <c r="B190" s="220" t="s">
        <v>260</v>
      </c>
      <c r="C190" s="221" t="s">
        <v>57</v>
      </c>
      <c r="D190" s="143">
        <v>2</v>
      </c>
      <c r="E190" s="144">
        <v>239</v>
      </c>
      <c r="F190" s="63" t="s">
        <v>262</v>
      </c>
      <c r="G190" s="63" t="s">
        <v>263</v>
      </c>
      <c r="H190" s="51" t="s">
        <v>76</v>
      </c>
      <c r="I190" s="145">
        <v>18.8</v>
      </c>
      <c r="J190" s="213">
        <v>1104</v>
      </c>
      <c r="K190" s="146">
        <f t="shared" si="323"/>
        <v>104</v>
      </c>
      <c r="L190" s="147">
        <f t="shared" si="1"/>
        <v>4.9685082352941174</v>
      </c>
      <c r="M190" s="147">
        <f t="shared" si="2"/>
        <v>0</v>
      </c>
      <c r="N190" s="147">
        <f t="shared" si="3"/>
        <v>0</v>
      </c>
      <c r="O190" s="147">
        <f t="shared" si="4"/>
        <v>0</v>
      </c>
      <c r="P190" s="148">
        <f t="shared" si="324"/>
        <v>0.26428235294117647</v>
      </c>
      <c r="Q190" s="147">
        <f t="shared" si="325"/>
        <v>0</v>
      </c>
      <c r="R190" s="147">
        <f t="shared" si="326"/>
        <v>0</v>
      </c>
      <c r="S190" s="147">
        <f t="shared" si="327"/>
        <v>0</v>
      </c>
      <c r="T190" s="200" t="str">
        <f t="shared" si="328"/>
        <v>B</v>
      </c>
      <c r="U190" s="214">
        <v>1</v>
      </c>
      <c r="V190" s="214">
        <v>1</v>
      </c>
      <c r="W190" s="214">
        <v>1</v>
      </c>
      <c r="X190" s="214">
        <v>1</v>
      </c>
      <c r="Y190" s="142"/>
      <c r="Z190" s="149">
        <f t="shared" si="329"/>
        <v>1955.2</v>
      </c>
      <c r="AA190" s="150">
        <f t="shared" si="330"/>
        <v>4.9685082352941174</v>
      </c>
      <c r="AB190" s="151"/>
      <c r="AE190" s="582">
        <f t="shared" si="331"/>
        <v>0</v>
      </c>
      <c r="AF190" s="582">
        <f t="shared" si="332"/>
        <v>18.8</v>
      </c>
    </row>
    <row r="191" spans="2:32" ht="18" customHeight="1">
      <c r="B191" s="220" t="s">
        <v>260</v>
      </c>
      <c r="C191" s="221" t="s">
        <v>57</v>
      </c>
      <c r="D191" s="143">
        <v>2</v>
      </c>
      <c r="E191" s="144">
        <v>249</v>
      </c>
      <c r="F191" s="63" t="s">
        <v>262</v>
      </c>
      <c r="G191" s="63" t="s">
        <v>263</v>
      </c>
      <c r="H191" s="51" t="s">
        <v>76</v>
      </c>
      <c r="I191" s="145">
        <v>18.8</v>
      </c>
      <c r="J191" s="213">
        <v>1104</v>
      </c>
      <c r="K191" s="146">
        <f t="shared" si="323"/>
        <v>104</v>
      </c>
      <c r="L191" s="147">
        <f t="shared" si="1"/>
        <v>4.9685082352941174</v>
      </c>
      <c r="M191" s="147">
        <f t="shared" si="2"/>
        <v>0</v>
      </c>
      <c r="N191" s="147">
        <f t="shared" si="3"/>
        <v>0</v>
      </c>
      <c r="O191" s="147">
        <f t="shared" si="4"/>
        <v>0</v>
      </c>
      <c r="P191" s="148">
        <f t="shared" si="324"/>
        <v>0.26428235294117647</v>
      </c>
      <c r="Q191" s="147">
        <f t="shared" si="325"/>
        <v>0</v>
      </c>
      <c r="R191" s="147">
        <f t="shared" si="326"/>
        <v>0</v>
      </c>
      <c r="S191" s="147">
        <f t="shared" si="327"/>
        <v>0</v>
      </c>
      <c r="T191" s="200" t="str">
        <f t="shared" si="328"/>
        <v>B</v>
      </c>
      <c r="U191" s="214">
        <v>1</v>
      </c>
      <c r="V191" s="214">
        <v>1</v>
      </c>
      <c r="W191" s="214">
        <v>1</v>
      </c>
      <c r="X191" s="214">
        <v>1</v>
      </c>
      <c r="Y191" s="142"/>
      <c r="Z191" s="149">
        <f t="shared" si="329"/>
        <v>1955.2</v>
      </c>
      <c r="AA191" s="150">
        <f t="shared" si="330"/>
        <v>4.9685082352941174</v>
      </c>
      <c r="AB191" s="151"/>
      <c r="AE191" s="582">
        <f t="shared" si="331"/>
        <v>0</v>
      </c>
      <c r="AF191" s="582">
        <f t="shared" si="332"/>
        <v>18.8</v>
      </c>
    </row>
    <row r="192" spans="2:32" ht="18" customHeight="1">
      <c r="B192" s="220" t="s">
        <v>260</v>
      </c>
      <c r="C192" s="221" t="s">
        <v>57</v>
      </c>
      <c r="D192" s="143">
        <v>2</v>
      </c>
      <c r="E192" s="144">
        <v>259</v>
      </c>
      <c r="F192" s="63" t="s">
        <v>262</v>
      </c>
      <c r="G192" s="63" t="s">
        <v>263</v>
      </c>
      <c r="H192" s="51" t="s">
        <v>76</v>
      </c>
      <c r="I192" s="145">
        <v>14.4</v>
      </c>
      <c r="J192" s="213">
        <v>1104</v>
      </c>
      <c r="K192" s="146">
        <f t="shared" si="323"/>
        <v>104</v>
      </c>
      <c r="L192" s="147">
        <f t="shared" si="1"/>
        <v>3.8056658823529412</v>
      </c>
      <c r="M192" s="147">
        <f t="shared" si="2"/>
        <v>0</v>
      </c>
      <c r="N192" s="147">
        <f t="shared" si="3"/>
        <v>0</v>
      </c>
      <c r="O192" s="147">
        <f t="shared" si="4"/>
        <v>0</v>
      </c>
      <c r="P192" s="148">
        <f t="shared" si="324"/>
        <v>0.26428235294117647</v>
      </c>
      <c r="Q192" s="147">
        <f t="shared" si="325"/>
        <v>0</v>
      </c>
      <c r="R192" s="147">
        <f t="shared" si="326"/>
        <v>0</v>
      </c>
      <c r="S192" s="147">
        <f t="shared" si="327"/>
        <v>0</v>
      </c>
      <c r="T192" s="200" t="str">
        <f t="shared" si="328"/>
        <v>B</v>
      </c>
      <c r="U192" s="214">
        <v>1</v>
      </c>
      <c r="V192" s="214">
        <v>1</v>
      </c>
      <c r="W192" s="214">
        <v>1</v>
      </c>
      <c r="X192" s="214">
        <v>1</v>
      </c>
      <c r="Y192" s="142"/>
      <c r="Z192" s="149">
        <f t="shared" si="329"/>
        <v>1497.6000000000001</v>
      </c>
      <c r="AA192" s="150">
        <f t="shared" si="330"/>
        <v>3.8056658823529412</v>
      </c>
      <c r="AB192" s="151"/>
      <c r="AE192" s="582">
        <f t="shared" si="331"/>
        <v>0</v>
      </c>
      <c r="AF192" s="582">
        <f t="shared" si="332"/>
        <v>14.4</v>
      </c>
    </row>
    <row r="193" spans="2:32" ht="18" customHeight="1">
      <c r="B193" s="220" t="s">
        <v>260</v>
      </c>
      <c r="C193" s="221" t="s">
        <v>57</v>
      </c>
      <c r="D193" s="143">
        <v>2</v>
      </c>
      <c r="E193" s="144" t="s">
        <v>432</v>
      </c>
      <c r="F193" s="63" t="s">
        <v>353</v>
      </c>
      <c r="G193" s="63" t="s">
        <v>271</v>
      </c>
      <c r="H193" s="51" t="s">
        <v>401</v>
      </c>
      <c r="I193" s="145">
        <v>21</v>
      </c>
      <c r="J193" s="213">
        <v>3255</v>
      </c>
      <c r="K193" s="146">
        <f t="shared" si="323"/>
        <v>255</v>
      </c>
      <c r="L193" s="147">
        <f t="shared" si="1"/>
        <v>7.8540000000000001</v>
      </c>
      <c r="M193" s="147">
        <f t="shared" si="2"/>
        <v>0</v>
      </c>
      <c r="N193" s="147">
        <f t="shared" si="3"/>
        <v>0</v>
      </c>
      <c r="O193" s="147">
        <f t="shared" si="4"/>
        <v>0</v>
      </c>
      <c r="P193" s="148">
        <f t="shared" si="324"/>
        <v>0.374</v>
      </c>
      <c r="Q193" s="147">
        <f t="shared" si="325"/>
        <v>0</v>
      </c>
      <c r="R193" s="147">
        <f t="shared" si="326"/>
        <v>0</v>
      </c>
      <c r="S193" s="147">
        <f t="shared" si="327"/>
        <v>0</v>
      </c>
      <c r="T193" s="200" t="str">
        <f t="shared" si="328"/>
        <v>V</v>
      </c>
      <c r="U193" s="214">
        <v>1</v>
      </c>
      <c r="V193" s="214">
        <v>1</v>
      </c>
      <c r="W193" s="214">
        <v>1</v>
      </c>
      <c r="X193" s="214">
        <v>1</v>
      </c>
      <c r="Y193" s="142"/>
      <c r="Z193" s="149">
        <f t="shared" si="329"/>
        <v>5355</v>
      </c>
      <c r="AA193" s="150">
        <f t="shared" si="330"/>
        <v>7.8540000000000001</v>
      </c>
      <c r="AB193" s="151"/>
      <c r="AE193" s="582">
        <f t="shared" si="331"/>
        <v>0</v>
      </c>
      <c r="AF193" s="582">
        <f t="shared" si="332"/>
        <v>0</v>
      </c>
    </row>
    <row r="194" spans="2:32" ht="18" customHeight="1">
      <c r="B194" s="220" t="s">
        <v>260</v>
      </c>
      <c r="C194" s="221" t="s">
        <v>57</v>
      </c>
      <c r="D194" s="143">
        <v>2</v>
      </c>
      <c r="E194" s="144">
        <v>281</v>
      </c>
      <c r="F194" s="63" t="s">
        <v>262</v>
      </c>
      <c r="G194" s="63" t="s">
        <v>263</v>
      </c>
      <c r="H194" s="51" t="s">
        <v>76</v>
      </c>
      <c r="I194" s="145">
        <v>9.3000000000000007</v>
      </c>
      <c r="J194" s="213">
        <v>1104</v>
      </c>
      <c r="K194" s="146">
        <f t="shared" si="323"/>
        <v>104</v>
      </c>
      <c r="L194" s="147">
        <f t="shared" si="1"/>
        <v>2.4578258823529415</v>
      </c>
      <c r="M194" s="147">
        <f t="shared" si="2"/>
        <v>0</v>
      </c>
      <c r="N194" s="147">
        <f t="shared" si="3"/>
        <v>0</v>
      </c>
      <c r="O194" s="147">
        <f t="shared" si="4"/>
        <v>0</v>
      </c>
      <c r="P194" s="148">
        <f t="shared" si="324"/>
        <v>0.26428235294117647</v>
      </c>
      <c r="Q194" s="147">
        <f t="shared" si="325"/>
        <v>0</v>
      </c>
      <c r="R194" s="147">
        <f t="shared" si="326"/>
        <v>0</v>
      </c>
      <c r="S194" s="147">
        <f t="shared" si="327"/>
        <v>0</v>
      </c>
      <c r="T194" s="200" t="str">
        <f t="shared" si="328"/>
        <v>B</v>
      </c>
      <c r="U194" s="214">
        <v>1</v>
      </c>
      <c r="V194" s="214">
        <v>1</v>
      </c>
      <c r="W194" s="214">
        <v>1</v>
      </c>
      <c r="X194" s="214">
        <v>1</v>
      </c>
      <c r="Y194" s="142"/>
      <c r="Z194" s="149">
        <f t="shared" si="329"/>
        <v>967.2</v>
      </c>
      <c r="AA194" s="150">
        <f t="shared" si="330"/>
        <v>2.4578258823529415</v>
      </c>
      <c r="AB194" s="151"/>
      <c r="AE194" s="582">
        <f t="shared" si="331"/>
        <v>0</v>
      </c>
      <c r="AF194" s="582">
        <f t="shared" si="332"/>
        <v>9.3000000000000007</v>
      </c>
    </row>
    <row r="195" spans="2:32" ht="18" customHeight="1">
      <c r="B195" s="220" t="s">
        <v>260</v>
      </c>
      <c r="C195" s="221" t="s">
        <v>57</v>
      </c>
      <c r="D195" s="143">
        <v>2</v>
      </c>
      <c r="E195" s="144">
        <v>282</v>
      </c>
      <c r="F195" s="63" t="s">
        <v>262</v>
      </c>
      <c r="G195" s="63" t="s">
        <v>263</v>
      </c>
      <c r="H195" s="51" t="s">
        <v>76</v>
      </c>
      <c r="I195" s="145">
        <v>9.3000000000000007</v>
      </c>
      <c r="J195" s="213">
        <v>1104</v>
      </c>
      <c r="K195" s="146">
        <f t="shared" si="323"/>
        <v>104</v>
      </c>
      <c r="L195" s="147">
        <f t="shared" si="1"/>
        <v>2.4578258823529415</v>
      </c>
      <c r="M195" s="147">
        <f t="shared" si="2"/>
        <v>0</v>
      </c>
      <c r="N195" s="147">
        <f t="shared" si="3"/>
        <v>0</v>
      </c>
      <c r="O195" s="147">
        <f t="shared" si="4"/>
        <v>0</v>
      </c>
      <c r="P195" s="148">
        <f t="shared" si="324"/>
        <v>0.26428235294117647</v>
      </c>
      <c r="Q195" s="147">
        <f t="shared" si="325"/>
        <v>0</v>
      </c>
      <c r="R195" s="147">
        <f t="shared" si="326"/>
        <v>0</v>
      </c>
      <c r="S195" s="147">
        <f t="shared" si="327"/>
        <v>0</v>
      </c>
      <c r="T195" s="200" t="str">
        <f t="shared" si="328"/>
        <v>B</v>
      </c>
      <c r="U195" s="214">
        <v>1</v>
      </c>
      <c r="V195" s="214">
        <v>1</v>
      </c>
      <c r="W195" s="214">
        <v>1</v>
      </c>
      <c r="X195" s="214">
        <v>1</v>
      </c>
      <c r="Y195" s="142"/>
      <c r="Z195" s="149">
        <f t="shared" si="329"/>
        <v>967.2</v>
      </c>
      <c r="AA195" s="150">
        <f t="shared" si="330"/>
        <v>2.4578258823529415</v>
      </c>
      <c r="AB195" s="151"/>
      <c r="AE195" s="582">
        <f t="shared" si="331"/>
        <v>0</v>
      </c>
      <c r="AF195" s="582">
        <f t="shared" si="332"/>
        <v>9.3000000000000007</v>
      </c>
    </row>
    <row r="196" spans="2:32" ht="18" customHeight="1">
      <c r="B196" s="220" t="s">
        <v>260</v>
      </c>
      <c r="C196" s="221" t="s">
        <v>57</v>
      </c>
      <c r="D196" s="143">
        <v>2</v>
      </c>
      <c r="E196" s="144">
        <v>283</v>
      </c>
      <c r="F196" s="63" t="s">
        <v>262</v>
      </c>
      <c r="G196" s="63" t="s">
        <v>263</v>
      </c>
      <c r="H196" s="51" t="s">
        <v>76</v>
      </c>
      <c r="I196" s="145">
        <v>3.5</v>
      </c>
      <c r="J196" s="213">
        <v>1104</v>
      </c>
      <c r="K196" s="146">
        <f t="shared" si="323"/>
        <v>104</v>
      </c>
      <c r="L196" s="147">
        <f t="shared" si="1"/>
        <v>0.92498823529411767</v>
      </c>
      <c r="M196" s="147">
        <f t="shared" si="2"/>
        <v>0</v>
      </c>
      <c r="N196" s="147">
        <f t="shared" si="3"/>
        <v>0</v>
      </c>
      <c r="O196" s="147">
        <f t="shared" si="4"/>
        <v>0</v>
      </c>
      <c r="P196" s="148">
        <f t="shared" si="324"/>
        <v>0.26428235294117647</v>
      </c>
      <c r="Q196" s="147">
        <f t="shared" si="325"/>
        <v>0</v>
      </c>
      <c r="R196" s="147">
        <f t="shared" si="326"/>
        <v>0</v>
      </c>
      <c r="S196" s="147">
        <f t="shared" si="327"/>
        <v>0</v>
      </c>
      <c r="T196" s="200" t="str">
        <f t="shared" si="328"/>
        <v>B</v>
      </c>
      <c r="U196" s="214">
        <v>1</v>
      </c>
      <c r="V196" s="214">
        <v>1</v>
      </c>
      <c r="W196" s="214">
        <v>1</v>
      </c>
      <c r="X196" s="214">
        <v>1</v>
      </c>
      <c r="Y196" s="142"/>
      <c r="Z196" s="149">
        <f t="shared" si="329"/>
        <v>364</v>
      </c>
      <c r="AA196" s="150">
        <f t="shared" si="330"/>
        <v>0.92498823529411767</v>
      </c>
      <c r="AB196" s="151"/>
      <c r="AE196" s="582">
        <f t="shared" si="331"/>
        <v>0</v>
      </c>
      <c r="AF196" s="582">
        <f t="shared" si="332"/>
        <v>3.5</v>
      </c>
    </row>
    <row r="197" spans="2:32" ht="18" customHeight="1">
      <c r="B197" s="220" t="s">
        <v>260</v>
      </c>
      <c r="C197" s="221" t="s">
        <v>57</v>
      </c>
      <c r="D197" s="143">
        <v>2</v>
      </c>
      <c r="E197" s="144">
        <v>284</v>
      </c>
      <c r="F197" s="63" t="s">
        <v>262</v>
      </c>
      <c r="G197" s="63" t="s">
        <v>263</v>
      </c>
      <c r="H197" s="51" t="s">
        <v>76</v>
      </c>
      <c r="I197" s="145">
        <v>3.5</v>
      </c>
      <c r="J197" s="213">
        <v>1104</v>
      </c>
      <c r="K197" s="146">
        <f t="shared" si="323"/>
        <v>104</v>
      </c>
      <c r="L197" s="147">
        <f t="shared" si="1"/>
        <v>0.92498823529411767</v>
      </c>
      <c r="M197" s="147">
        <f t="shared" si="2"/>
        <v>0</v>
      </c>
      <c r="N197" s="147">
        <f t="shared" si="3"/>
        <v>0</v>
      </c>
      <c r="O197" s="147">
        <f t="shared" si="4"/>
        <v>0</v>
      </c>
      <c r="P197" s="148">
        <f t="shared" si="324"/>
        <v>0.26428235294117647</v>
      </c>
      <c r="Q197" s="147">
        <f t="shared" si="325"/>
        <v>0</v>
      </c>
      <c r="R197" s="147">
        <f t="shared" si="326"/>
        <v>0</v>
      </c>
      <c r="S197" s="147">
        <f t="shared" si="327"/>
        <v>0</v>
      </c>
      <c r="T197" s="200" t="str">
        <f t="shared" si="328"/>
        <v>B</v>
      </c>
      <c r="U197" s="214">
        <v>1</v>
      </c>
      <c r="V197" s="214">
        <v>1</v>
      </c>
      <c r="W197" s="214">
        <v>1</v>
      </c>
      <c r="X197" s="214">
        <v>1</v>
      </c>
      <c r="Y197" s="142"/>
      <c r="Z197" s="149">
        <f t="shared" si="329"/>
        <v>364</v>
      </c>
      <c r="AA197" s="150">
        <f t="shared" si="330"/>
        <v>0.92498823529411767</v>
      </c>
      <c r="AB197" s="151"/>
      <c r="AE197" s="582">
        <f t="shared" si="331"/>
        <v>0</v>
      </c>
      <c r="AF197" s="582">
        <f t="shared" si="332"/>
        <v>3.5</v>
      </c>
    </row>
    <row r="198" spans="2:32" ht="18" customHeight="1">
      <c r="B198" s="220" t="s">
        <v>260</v>
      </c>
      <c r="C198" s="221" t="s">
        <v>57</v>
      </c>
      <c r="D198" s="143">
        <v>2</v>
      </c>
      <c r="E198" s="144">
        <v>270</v>
      </c>
      <c r="F198" s="63" t="s">
        <v>262</v>
      </c>
      <c r="G198" s="63" t="s">
        <v>263</v>
      </c>
      <c r="H198" s="51" t="s">
        <v>76</v>
      </c>
      <c r="I198" s="145">
        <v>11.1</v>
      </c>
      <c r="J198" s="213">
        <v>1104</v>
      </c>
      <c r="K198" s="146">
        <f t="shared" si="323"/>
        <v>104</v>
      </c>
      <c r="L198" s="147">
        <f t="shared" si="1"/>
        <v>2.9335341176470586</v>
      </c>
      <c r="M198" s="147">
        <f t="shared" si="2"/>
        <v>0</v>
      </c>
      <c r="N198" s="147">
        <f t="shared" si="3"/>
        <v>0</v>
      </c>
      <c r="O198" s="147">
        <f t="shared" si="4"/>
        <v>0</v>
      </c>
      <c r="P198" s="148">
        <f t="shared" si="324"/>
        <v>0.26428235294117647</v>
      </c>
      <c r="Q198" s="147">
        <f t="shared" si="325"/>
        <v>0</v>
      </c>
      <c r="R198" s="147">
        <f t="shared" si="326"/>
        <v>0</v>
      </c>
      <c r="S198" s="147">
        <f t="shared" si="327"/>
        <v>0</v>
      </c>
      <c r="T198" s="200" t="str">
        <f t="shared" si="328"/>
        <v>B</v>
      </c>
      <c r="U198" s="214">
        <v>1</v>
      </c>
      <c r="V198" s="214">
        <v>1</v>
      </c>
      <c r="W198" s="214">
        <v>1</v>
      </c>
      <c r="X198" s="214">
        <v>1</v>
      </c>
      <c r="Y198" s="142"/>
      <c r="Z198" s="149">
        <f t="shared" si="329"/>
        <v>1154.3999999999999</v>
      </c>
      <c r="AA198" s="150">
        <f t="shared" si="330"/>
        <v>2.9335341176470586</v>
      </c>
      <c r="AB198" s="151"/>
      <c r="AE198" s="582">
        <f t="shared" si="331"/>
        <v>0</v>
      </c>
      <c r="AF198" s="582">
        <f t="shared" si="332"/>
        <v>11.1</v>
      </c>
    </row>
    <row r="199" spans="2:32" ht="18" customHeight="1">
      <c r="B199" s="220" t="s">
        <v>260</v>
      </c>
      <c r="C199" s="221" t="s">
        <v>57</v>
      </c>
      <c r="D199" s="143">
        <v>2</v>
      </c>
      <c r="E199" s="144" t="s">
        <v>433</v>
      </c>
      <c r="F199" s="63" t="s">
        <v>387</v>
      </c>
      <c r="G199" s="63" t="s">
        <v>263</v>
      </c>
      <c r="H199" s="51" t="s">
        <v>76</v>
      </c>
      <c r="I199" s="145">
        <v>2.1</v>
      </c>
      <c r="J199" s="213">
        <v>1104</v>
      </c>
      <c r="K199" s="146">
        <f t="shared" ref="K199" si="363">SUM(IF(J199="",0,VLOOKUP(J199,Kengetal,2)))</f>
        <v>104</v>
      </c>
      <c r="L199" s="147">
        <f t="shared" ref="L199" si="364">P199*I199*U199</f>
        <v>0.55499294117647058</v>
      </c>
      <c r="M199" s="147">
        <f t="shared" ref="M199" si="365">Q199*I199*V199</f>
        <v>0</v>
      </c>
      <c r="N199" s="147">
        <f t="shared" ref="N199" si="366">R199*I199*W199</f>
        <v>0</v>
      </c>
      <c r="O199" s="147">
        <f t="shared" ref="O199" si="367">S199*I199*X199</f>
        <v>0</v>
      </c>
      <c r="P199" s="148">
        <f t="shared" si="324"/>
        <v>0.26428235294117647</v>
      </c>
      <c r="Q199" s="147">
        <f t="shared" si="325"/>
        <v>0</v>
      </c>
      <c r="R199" s="147">
        <f t="shared" si="326"/>
        <v>0</v>
      </c>
      <c r="S199" s="147">
        <f t="shared" si="327"/>
        <v>0</v>
      </c>
      <c r="T199" s="200" t="str">
        <f t="shared" ref="T199" si="368">IF(J199="","",VLOOKUP(J199,Kengetal,13,FALSE))</f>
        <v>B</v>
      </c>
      <c r="U199" s="214">
        <v>1</v>
      </c>
      <c r="V199" s="214">
        <v>1</v>
      </c>
      <c r="W199" s="214">
        <v>1</v>
      </c>
      <c r="X199" s="214">
        <v>1</v>
      </c>
      <c r="Y199" s="142"/>
      <c r="Z199" s="149">
        <f t="shared" ref="Z199" si="369">I199*K199</f>
        <v>218.4</v>
      </c>
      <c r="AA199" s="150">
        <f t="shared" ref="AA199" si="370">L199+M199+N199+O199</f>
        <v>0.55499294117647058</v>
      </c>
      <c r="AB199" s="151"/>
      <c r="AE199" s="582">
        <f t="shared" ref="AE199" si="371">SUMIF(H199,"Linoleum",I199)</f>
        <v>0</v>
      </c>
      <c r="AF199" s="582">
        <f t="shared" ref="AF199" si="372">SUMIF(H199,"Tapijt",I199)</f>
        <v>2.1</v>
      </c>
    </row>
    <row r="200" spans="2:32" ht="18" customHeight="1">
      <c r="B200" s="220" t="s">
        <v>260</v>
      </c>
      <c r="C200" s="221" t="s">
        <v>57</v>
      </c>
      <c r="D200" s="143">
        <v>2</v>
      </c>
      <c r="E200" s="144" t="s">
        <v>434</v>
      </c>
      <c r="F200" s="63" t="s">
        <v>387</v>
      </c>
      <c r="G200" s="63" t="s">
        <v>263</v>
      </c>
      <c r="H200" s="51" t="s">
        <v>76</v>
      </c>
      <c r="I200" s="145">
        <v>2.1</v>
      </c>
      <c r="J200" s="213">
        <v>1104</v>
      </c>
      <c r="K200" s="146">
        <f t="shared" ref="K200" si="373">SUM(IF(J200="",0,VLOOKUP(J200,Kengetal,2)))</f>
        <v>104</v>
      </c>
      <c r="L200" s="147">
        <f t="shared" ref="L200" si="374">P200*I200*U200</f>
        <v>0.55499294117647058</v>
      </c>
      <c r="M200" s="147">
        <f t="shared" ref="M200" si="375">Q200*I200*V200</f>
        <v>0</v>
      </c>
      <c r="N200" s="147">
        <f t="shared" ref="N200" si="376">R200*I200*W200</f>
        <v>0</v>
      </c>
      <c r="O200" s="147">
        <f t="shared" ref="O200" si="377">S200*I200*X200</f>
        <v>0</v>
      </c>
      <c r="P200" s="148">
        <f t="shared" si="324"/>
        <v>0.26428235294117647</v>
      </c>
      <c r="Q200" s="147">
        <f t="shared" si="325"/>
        <v>0</v>
      </c>
      <c r="R200" s="147">
        <f t="shared" si="326"/>
        <v>0</v>
      </c>
      <c r="S200" s="147">
        <f t="shared" si="327"/>
        <v>0</v>
      </c>
      <c r="T200" s="200" t="str">
        <f t="shared" ref="T200" si="378">IF(J200="","",VLOOKUP(J200,Kengetal,13,FALSE))</f>
        <v>B</v>
      </c>
      <c r="U200" s="214">
        <v>1</v>
      </c>
      <c r="V200" s="214">
        <v>1</v>
      </c>
      <c r="W200" s="214">
        <v>1</v>
      </c>
      <c r="X200" s="214">
        <v>1</v>
      </c>
      <c r="Y200" s="142"/>
      <c r="Z200" s="149">
        <f t="shared" ref="Z200" si="379">I200*K200</f>
        <v>218.4</v>
      </c>
      <c r="AA200" s="150">
        <f t="shared" ref="AA200" si="380">L200+M200+N200+O200</f>
        <v>0.55499294117647058</v>
      </c>
      <c r="AB200" s="151"/>
      <c r="AE200" s="582">
        <f t="shared" ref="AE200" si="381">SUMIF(H200,"Linoleum",I200)</f>
        <v>0</v>
      </c>
      <c r="AF200" s="582">
        <f t="shared" ref="AF200" si="382">SUMIF(H200,"Tapijt",I200)</f>
        <v>2.1</v>
      </c>
    </row>
    <row r="201" spans="2:32" ht="18" customHeight="1">
      <c r="B201" s="220" t="s">
        <v>260</v>
      </c>
      <c r="C201" s="221" t="s">
        <v>57</v>
      </c>
      <c r="D201" s="143">
        <v>2</v>
      </c>
      <c r="E201" s="144" t="s">
        <v>435</v>
      </c>
      <c r="F201" s="63" t="s">
        <v>387</v>
      </c>
      <c r="G201" s="63" t="s">
        <v>263</v>
      </c>
      <c r="H201" s="51" t="s">
        <v>76</v>
      </c>
      <c r="I201" s="145">
        <v>2.1</v>
      </c>
      <c r="J201" s="213">
        <v>1104</v>
      </c>
      <c r="K201" s="146">
        <f t="shared" ref="K201" si="383">SUM(IF(J201="",0,VLOOKUP(J201,Kengetal,2)))</f>
        <v>104</v>
      </c>
      <c r="L201" s="147">
        <f t="shared" ref="L201" si="384">P201*I201*U201</f>
        <v>0.55499294117647058</v>
      </c>
      <c r="M201" s="147">
        <f t="shared" ref="M201" si="385">Q201*I201*V201</f>
        <v>0</v>
      </c>
      <c r="N201" s="147">
        <f t="shared" ref="N201" si="386">R201*I201*W201</f>
        <v>0</v>
      </c>
      <c r="O201" s="147">
        <f t="shared" ref="O201" si="387">S201*I201*X201</f>
        <v>0</v>
      </c>
      <c r="P201" s="148">
        <f t="shared" si="324"/>
        <v>0.26428235294117647</v>
      </c>
      <c r="Q201" s="147">
        <f t="shared" si="325"/>
        <v>0</v>
      </c>
      <c r="R201" s="147">
        <f t="shared" si="326"/>
        <v>0</v>
      </c>
      <c r="S201" s="147">
        <f t="shared" si="327"/>
        <v>0</v>
      </c>
      <c r="T201" s="200" t="str">
        <f t="shared" ref="T201" si="388">IF(J201="","",VLOOKUP(J201,Kengetal,13,FALSE))</f>
        <v>B</v>
      </c>
      <c r="U201" s="214">
        <v>1</v>
      </c>
      <c r="V201" s="214">
        <v>1</v>
      </c>
      <c r="W201" s="214">
        <v>1</v>
      </c>
      <c r="X201" s="214">
        <v>1</v>
      </c>
      <c r="Y201" s="142"/>
      <c r="Z201" s="149">
        <f t="shared" ref="Z201" si="389">I201*K201</f>
        <v>218.4</v>
      </c>
      <c r="AA201" s="150">
        <f t="shared" ref="AA201" si="390">L201+M201+N201+O201</f>
        <v>0.55499294117647058</v>
      </c>
      <c r="AB201" s="151"/>
      <c r="AE201" s="582">
        <f t="shared" ref="AE201" si="391">SUMIF(H201,"Linoleum",I201)</f>
        <v>0</v>
      </c>
      <c r="AF201" s="582">
        <f t="shared" ref="AF201" si="392">SUMIF(H201,"Tapijt",I201)</f>
        <v>2.1</v>
      </c>
    </row>
    <row r="202" spans="2:32" ht="18" customHeight="1">
      <c r="B202" s="220" t="s">
        <v>260</v>
      </c>
      <c r="C202" s="221" t="s">
        <v>57</v>
      </c>
      <c r="D202" s="143">
        <v>2</v>
      </c>
      <c r="E202" s="144" t="s">
        <v>436</v>
      </c>
      <c r="F202" s="63" t="s">
        <v>387</v>
      </c>
      <c r="G202" s="63" t="s">
        <v>263</v>
      </c>
      <c r="H202" s="51" t="s">
        <v>76</v>
      </c>
      <c r="I202" s="145">
        <v>2.1</v>
      </c>
      <c r="J202" s="213">
        <v>1104</v>
      </c>
      <c r="K202" s="146">
        <f t="shared" ref="K202" si="393">SUM(IF(J202="",0,VLOOKUP(J202,Kengetal,2)))</f>
        <v>104</v>
      </c>
      <c r="L202" s="147">
        <f t="shared" ref="L202" si="394">P202*I202*U202</f>
        <v>0.55499294117647058</v>
      </c>
      <c r="M202" s="147">
        <f t="shared" ref="M202" si="395">Q202*I202*V202</f>
        <v>0</v>
      </c>
      <c r="N202" s="147">
        <f t="shared" ref="N202" si="396">R202*I202*W202</f>
        <v>0</v>
      </c>
      <c r="O202" s="147">
        <f t="shared" ref="O202" si="397">S202*I202*X202</f>
        <v>0</v>
      </c>
      <c r="P202" s="148">
        <f t="shared" si="324"/>
        <v>0.26428235294117647</v>
      </c>
      <c r="Q202" s="147">
        <f t="shared" si="325"/>
        <v>0</v>
      </c>
      <c r="R202" s="147">
        <f t="shared" si="326"/>
        <v>0</v>
      </c>
      <c r="S202" s="147">
        <f t="shared" si="327"/>
        <v>0</v>
      </c>
      <c r="T202" s="200" t="str">
        <f t="shared" ref="T202" si="398">IF(J202="","",VLOOKUP(J202,Kengetal,13,FALSE))</f>
        <v>B</v>
      </c>
      <c r="U202" s="214">
        <v>1</v>
      </c>
      <c r="V202" s="214">
        <v>1</v>
      </c>
      <c r="W202" s="214">
        <v>1</v>
      </c>
      <c r="X202" s="214">
        <v>1</v>
      </c>
      <c r="Y202" s="142"/>
      <c r="Z202" s="149">
        <f t="shared" ref="Z202" si="399">I202*K202</f>
        <v>218.4</v>
      </c>
      <c r="AA202" s="150">
        <f t="shared" ref="AA202" si="400">L202+M202+N202+O202</f>
        <v>0.55499294117647058</v>
      </c>
      <c r="AB202" s="151"/>
      <c r="AE202" s="582">
        <f t="shared" ref="AE202" si="401">SUMIF(H202,"Linoleum",I202)</f>
        <v>0</v>
      </c>
      <c r="AF202" s="582">
        <f t="shared" ref="AF202" si="402">SUMIF(H202,"Tapijt",I202)</f>
        <v>2.1</v>
      </c>
    </row>
    <row r="203" spans="2:32" ht="18" customHeight="1">
      <c r="B203" s="220" t="s">
        <v>260</v>
      </c>
      <c r="C203" s="221" t="s">
        <v>57</v>
      </c>
      <c r="D203" s="143">
        <v>2</v>
      </c>
      <c r="E203" s="144" t="s">
        <v>437</v>
      </c>
      <c r="F203" s="63" t="s">
        <v>262</v>
      </c>
      <c r="G203" s="63" t="s">
        <v>263</v>
      </c>
      <c r="H203" s="51" t="s">
        <v>76</v>
      </c>
      <c r="I203" s="145">
        <v>8.6</v>
      </c>
      <c r="J203" s="213">
        <v>1104</v>
      </c>
      <c r="K203" s="146">
        <f t="shared" ref="K203" si="403">SUM(IF(J203="",0,VLOOKUP(J203,Kengetal,2)))</f>
        <v>104</v>
      </c>
      <c r="L203" s="147">
        <f t="shared" ref="L203" si="404">P203*I203*U203</f>
        <v>2.2728282352941176</v>
      </c>
      <c r="M203" s="147">
        <f t="shared" ref="M203" si="405">Q203*I203*V203</f>
        <v>0</v>
      </c>
      <c r="N203" s="147">
        <f t="shared" ref="N203" si="406">R203*I203*W203</f>
        <v>0</v>
      </c>
      <c r="O203" s="147">
        <f t="shared" ref="O203" si="407">S203*I203*X203</f>
        <v>0</v>
      </c>
      <c r="P203" s="148">
        <f t="shared" si="324"/>
        <v>0.26428235294117647</v>
      </c>
      <c r="Q203" s="147">
        <f t="shared" si="325"/>
        <v>0</v>
      </c>
      <c r="R203" s="147">
        <f t="shared" si="326"/>
        <v>0</v>
      </c>
      <c r="S203" s="147">
        <f t="shared" si="327"/>
        <v>0</v>
      </c>
      <c r="T203" s="200" t="str">
        <f t="shared" ref="T203" si="408">IF(J203="","",VLOOKUP(J203,Kengetal,13,FALSE))</f>
        <v>B</v>
      </c>
      <c r="U203" s="214">
        <v>1</v>
      </c>
      <c r="V203" s="214">
        <v>1</v>
      </c>
      <c r="W203" s="214">
        <v>1</v>
      </c>
      <c r="X203" s="214">
        <v>1</v>
      </c>
      <c r="Y203" s="142"/>
      <c r="Z203" s="149">
        <f t="shared" ref="Z203" si="409">I203*K203</f>
        <v>894.4</v>
      </c>
      <c r="AA203" s="150">
        <f t="shared" ref="AA203" si="410">L203+M203+N203+O203</f>
        <v>2.2728282352941176</v>
      </c>
      <c r="AB203" s="151"/>
      <c r="AE203" s="582">
        <f t="shared" ref="AE203" si="411">SUMIF(H203,"Linoleum",I203)</f>
        <v>0</v>
      </c>
      <c r="AF203" s="582">
        <f t="shared" ref="AF203" si="412">SUMIF(H203,"Tapijt",I203)</f>
        <v>8.6</v>
      </c>
    </row>
    <row r="204" spans="2:32" ht="18" customHeight="1">
      <c r="B204" s="220" t="s">
        <v>260</v>
      </c>
      <c r="C204" s="221" t="s">
        <v>57</v>
      </c>
      <c r="D204" s="143">
        <v>2</v>
      </c>
      <c r="E204" s="144" t="s">
        <v>438</v>
      </c>
      <c r="F204" s="63" t="s">
        <v>262</v>
      </c>
      <c r="G204" s="63" t="s">
        <v>263</v>
      </c>
      <c r="H204" s="51" t="s">
        <v>76</v>
      </c>
      <c r="I204" s="145">
        <v>8.1999999999999993</v>
      </c>
      <c r="J204" s="213">
        <v>1104</v>
      </c>
      <c r="K204" s="146">
        <f t="shared" ref="K204:K208" si="413">SUM(IF(J204="",0,VLOOKUP(J204,Kengetal,2)))</f>
        <v>104</v>
      </c>
      <c r="L204" s="147">
        <f t="shared" ref="L204:L208" si="414">P204*I204*U204</f>
        <v>2.167115294117647</v>
      </c>
      <c r="M204" s="147">
        <f t="shared" ref="M204:M208" si="415">Q204*I204*V204</f>
        <v>0</v>
      </c>
      <c r="N204" s="147">
        <f t="shared" ref="N204:N208" si="416">R204*I204*W204</f>
        <v>0</v>
      </c>
      <c r="O204" s="147">
        <f t="shared" ref="O204:O208" si="417">S204*I204*X204</f>
        <v>0</v>
      </c>
      <c r="P204" s="148">
        <f t="shared" si="324"/>
        <v>0.26428235294117647</v>
      </c>
      <c r="Q204" s="147">
        <f t="shared" si="325"/>
        <v>0</v>
      </c>
      <c r="R204" s="147">
        <f t="shared" si="326"/>
        <v>0</v>
      </c>
      <c r="S204" s="147">
        <f t="shared" si="327"/>
        <v>0</v>
      </c>
      <c r="T204" s="200" t="str">
        <f t="shared" ref="T204:T208" si="418">IF(J204="","",VLOOKUP(J204,Kengetal,13,FALSE))</f>
        <v>B</v>
      </c>
      <c r="U204" s="214">
        <v>1</v>
      </c>
      <c r="V204" s="214">
        <v>1</v>
      </c>
      <c r="W204" s="214">
        <v>1</v>
      </c>
      <c r="X204" s="214">
        <v>1</v>
      </c>
      <c r="Y204" s="142"/>
      <c r="Z204" s="149">
        <f t="shared" ref="Z204:Z208" si="419">I204*K204</f>
        <v>852.8</v>
      </c>
      <c r="AA204" s="150">
        <f t="shared" ref="AA204:AA208" si="420">L204+M204+N204+O204</f>
        <v>2.167115294117647</v>
      </c>
      <c r="AB204" s="151"/>
      <c r="AE204" s="582">
        <f t="shared" ref="AE204:AE208" si="421">SUMIF(H204,"Linoleum",I204)</f>
        <v>0</v>
      </c>
      <c r="AF204" s="582">
        <f t="shared" ref="AF204:AF208" si="422">SUMIF(H204,"Tapijt",I204)</f>
        <v>8.1999999999999993</v>
      </c>
    </row>
    <row r="205" spans="2:32" ht="18" customHeight="1">
      <c r="B205" s="220" t="s">
        <v>260</v>
      </c>
      <c r="C205" s="221" t="s">
        <v>57</v>
      </c>
      <c r="D205" s="143">
        <v>2</v>
      </c>
      <c r="E205" s="144">
        <v>273</v>
      </c>
      <c r="F205" s="63" t="s">
        <v>385</v>
      </c>
      <c r="G205" s="63" t="s">
        <v>271</v>
      </c>
      <c r="H205" s="51" t="s">
        <v>371</v>
      </c>
      <c r="I205" s="145">
        <v>42.2</v>
      </c>
      <c r="J205" s="213">
        <v>6255</v>
      </c>
      <c r="K205" s="146">
        <f t="shared" si="413"/>
        <v>255</v>
      </c>
      <c r="L205" s="147">
        <f t="shared" si="414"/>
        <v>47.432800000000007</v>
      </c>
      <c r="M205" s="147">
        <f t="shared" si="415"/>
        <v>0</v>
      </c>
      <c r="N205" s="147">
        <f t="shared" si="416"/>
        <v>0</v>
      </c>
      <c r="O205" s="147">
        <f t="shared" si="417"/>
        <v>0</v>
      </c>
      <c r="P205" s="148">
        <f t="shared" si="324"/>
        <v>1.1240000000000001</v>
      </c>
      <c r="Q205" s="147">
        <f t="shared" si="325"/>
        <v>0</v>
      </c>
      <c r="R205" s="147">
        <f t="shared" si="326"/>
        <v>0</v>
      </c>
      <c r="S205" s="147">
        <f t="shared" si="327"/>
        <v>0</v>
      </c>
      <c r="T205" s="200" t="str">
        <f t="shared" si="418"/>
        <v>V</v>
      </c>
      <c r="U205" s="214">
        <v>1</v>
      </c>
      <c r="V205" s="214">
        <v>1</v>
      </c>
      <c r="W205" s="214">
        <v>1</v>
      </c>
      <c r="X205" s="214">
        <v>1</v>
      </c>
      <c r="Y205" s="142"/>
      <c r="Z205" s="149">
        <f t="shared" si="419"/>
        <v>10761</v>
      </c>
      <c r="AA205" s="150">
        <f t="shared" si="420"/>
        <v>47.432800000000007</v>
      </c>
      <c r="AB205" s="151"/>
      <c r="AE205" s="582">
        <f t="shared" si="421"/>
        <v>0</v>
      </c>
      <c r="AF205" s="582">
        <f t="shared" si="422"/>
        <v>0</v>
      </c>
    </row>
    <row r="206" spans="2:32" ht="18" customHeight="1">
      <c r="B206" s="220" t="s">
        <v>260</v>
      </c>
      <c r="C206" s="221" t="s">
        <v>57</v>
      </c>
      <c r="D206" s="143">
        <v>2</v>
      </c>
      <c r="E206" s="144" t="s">
        <v>439</v>
      </c>
      <c r="F206" s="63" t="s">
        <v>262</v>
      </c>
      <c r="G206" s="63" t="s">
        <v>263</v>
      </c>
      <c r="H206" s="51" t="s">
        <v>76</v>
      </c>
      <c r="I206" s="145">
        <v>9.6</v>
      </c>
      <c r="J206" s="213">
        <v>1104</v>
      </c>
      <c r="K206" s="146">
        <f t="shared" si="413"/>
        <v>104</v>
      </c>
      <c r="L206" s="147">
        <f t="shared" si="414"/>
        <v>2.537110588235294</v>
      </c>
      <c r="M206" s="147">
        <f t="shared" si="415"/>
        <v>0</v>
      </c>
      <c r="N206" s="147">
        <f t="shared" si="416"/>
        <v>0</v>
      </c>
      <c r="O206" s="147">
        <f t="shared" si="417"/>
        <v>0</v>
      </c>
      <c r="P206" s="148">
        <f t="shared" si="324"/>
        <v>0.26428235294117647</v>
      </c>
      <c r="Q206" s="147">
        <f t="shared" si="325"/>
        <v>0</v>
      </c>
      <c r="R206" s="147">
        <f t="shared" si="326"/>
        <v>0</v>
      </c>
      <c r="S206" s="147">
        <f t="shared" si="327"/>
        <v>0</v>
      </c>
      <c r="T206" s="200" t="str">
        <f t="shared" si="418"/>
        <v>B</v>
      </c>
      <c r="U206" s="214">
        <v>1</v>
      </c>
      <c r="V206" s="214">
        <v>1</v>
      </c>
      <c r="W206" s="214">
        <v>1</v>
      </c>
      <c r="X206" s="214">
        <v>1</v>
      </c>
      <c r="Y206" s="142"/>
      <c r="Z206" s="149">
        <f t="shared" si="419"/>
        <v>998.4</v>
      </c>
      <c r="AA206" s="150">
        <f t="shared" si="420"/>
        <v>2.537110588235294</v>
      </c>
      <c r="AB206" s="151"/>
      <c r="AE206" s="582">
        <f t="shared" si="421"/>
        <v>0</v>
      </c>
      <c r="AF206" s="582">
        <f t="shared" si="422"/>
        <v>9.6</v>
      </c>
    </row>
    <row r="207" spans="2:32" ht="18" customHeight="1">
      <c r="B207" s="220" t="s">
        <v>260</v>
      </c>
      <c r="C207" s="221" t="s">
        <v>57</v>
      </c>
      <c r="D207" s="143">
        <v>2</v>
      </c>
      <c r="E207" s="144" t="s">
        <v>440</v>
      </c>
      <c r="F207" s="63" t="s">
        <v>262</v>
      </c>
      <c r="G207" s="63" t="s">
        <v>263</v>
      </c>
      <c r="H207" s="51" t="s">
        <v>76</v>
      </c>
      <c r="I207" s="145">
        <v>10.199999999999999</v>
      </c>
      <c r="J207" s="213">
        <v>1104</v>
      </c>
      <c r="K207" s="146">
        <f t="shared" si="413"/>
        <v>104</v>
      </c>
      <c r="L207" s="147">
        <f t="shared" si="414"/>
        <v>2.6956799999999999</v>
      </c>
      <c r="M207" s="147">
        <f t="shared" si="415"/>
        <v>0</v>
      </c>
      <c r="N207" s="147">
        <f t="shared" si="416"/>
        <v>0</v>
      </c>
      <c r="O207" s="147">
        <f t="shared" si="417"/>
        <v>0</v>
      </c>
      <c r="P207" s="148">
        <f t="shared" si="324"/>
        <v>0.26428235294117647</v>
      </c>
      <c r="Q207" s="147">
        <f t="shared" si="325"/>
        <v>0</v>
      </c>
      <c r="R207" s="147">
        <f t="shared" si="326"/>
        <v>0</v>
      </c>
      <c r="S207" s="147">
        <f t="shared" si="327"/>
        <v>0</v>
      </c>
      <c r="T207" s="200" t="str">
        <f t="shared" si="418"/>
        <v>B</v>
      </c>
      <c r="U207" s="214">
        <v>1</v>
      </c>
      <c r="V207" s="214">
        <v>1</v>
      </c>
      <c r="W207" s="214">
        <v>1</v>
      </c>
      <c r="X207" s="214">
        <v>1</v>
      </c>
      <c r="Y207" s="142"/>
      <c r="Z207" s="149">
        <f t="shared" si="419"/>
        <v>1060.8</v>
      </c>
      <c r="AA207" s="150">
        <f t="shared" si="420"/>
        <v>2.6956799999999999</v>
      </c>
      <c r="AB207" s="151"/>
      <c r="AE207" s="582">
        <f t="shared" si="421"/>
        <v>0</v>
      </c>
      <c r="AF207" s="582">
        <f t="shared" si="422"/>
        <v>10.199999999999999</v>
      </c>
    </row>
    <row r="208" spans="2:32" ht="18" customHeight="1">
      <c r="B208" s="220" t="s">
        <v>260</v>
      </c>
      <c r="C208" s="221" t="s">
        <v>57</v>
      </c>
      <c r="D208" s="143">
        <v>2</v>
      </c>
      <c r="E208" s="144" t="s">
        <v>441</v>
      </c>
      <c r="F208" s="63" t="s">
        <v>262</v>
      </c>
      <c r="G208" s="63" t="s">
        <v>263</v>
      </c>
      <c r="H208" s="51" t="s">
        <v>76</v>
      </c>
      <c r="I208" s="145">
        <v>3</v>
      </c>
      <c r="J208" s="213">
        <v>1104</v>
      </c>
      <c r="K208" s="146">
        <f t="shared" si="413"/>
        <v>104</v>
      </c>
      <c r="L208" s="147">
        <f t="shared" si="414"/>
        <v>0.79284705882352946</v>
      </c>
      <c r="M208" s="147">
        <f t="shared" si="415"/>
        <v>0</v>
      </c>
      <c r="N208" s="147">
        <f t="shared" si="416"/>
        <v>0</v>
      </c>
      <c r="O208" s="147">
        <f t="shared" si="417"/>
        <v>0</v>
      </c>
      <c r="P208" s="148">
        <f t="shared" si="324"/>
        <v>0.26428235294117647</v>
      </c>
      <c r="Q208" s="147">
        <f t="shared" si="325"/>
        <v>0</v>
      </c>
      <c r="R208" s="147">
        <f t="shared" si="326"/>
        <v>0</v>
      </c>
      <c r="S208" s="147">
        <f t="shared" si="327"/>
        <v>0</v>
      </c>
      <c r="T208" s="200" t="str">
        <f t="shared" si="418"/>
        <v>B</v>
      </c>
      <c r="U208" s="214">
        <v>1</v>
      </c>
      <c r="V208" s="214">
        <v>1</v>
      </c>
      <c r="W208" s="214">
        <v>1</v>
      </c>
      <c r="X208" s="214">
        <v>1</v>
      </c>
      <c r="Y208" s="142"/>
      <c r="Z208" s="149">
        <f t="shared" si="419"/>
        <v>312</v>
      </c>
      <c r="AA208" s="150">
        <f t="shared" si="420"/>
        <v>0.79284705882352946</v>
      </c>
      <c r="AB208" s="151"/>
      <c r="AE208" s="582">
        <f t="shared" si="421"/>
        <v>0</v>
      </c>
      <c r="AF208" s="582">
        <f t="shared" si="422"/>
        <v>3</v>
      </c>
    </row>
    <row r="209" spans="2:32" ht="18" customHeight="1">
      <c r="B209" s="220" t="s">
        <v>260</v>
      </c>
      <c r="C209" s="221" t="s">
        <v>57</v>
      </c>
      <c r="D209" s="143">
        <v>2</v>
      </c>
      <c r="E209" s="144" t="s">
        <v>442</v>
      </c>
      <c r="F209" s="63" t="s">
        <v>262</v>
      </c>
      <c r="G209" s="63" t="s">
        <v>263</v>
      </c>
      <c r="H209" s="51" t="s">
        <v>76</v>
      </c>
      <c r="I209" s="145">
        <v>5.7</v>
      </c>
      <c r="J209" s="213">
        <v>1104</v>
      </c>
      <c r="K209" s="146">
        <f t="shared" ref="K209" si="423">SUM(IF(J209="",0,VLOOKUP(J209,Kengetal,2)))</f>
        <v>104</v>
      </c>
      <c r="L209" s="147">
        <f t="shared" ref="L209" si="424">P209*I209*U209</f>
        <v>1.506409411764706</v>
      </c>
      <c r="M209" s="147">
        <f t="shared" ref="M209" si="425">Q209*I209*V209</f>
        <v>0</v>
      </c>
      <c r="N209" s="147">
        <f t="shared" ref="N209" si="426">R209*I209*W209</f>
        <v>0</v>
      </c>
      <c r="O209" s="147">
        <f t="shared" ref="O209" si="427">S209*I209*X209</f>
        <v>0</v>
      </c>
      <c r="P209" s="148">
        <f t="shared" si="324"/>
        <v>0.26428235294117647</v>
      </c>
      <c r="Q209" s="147">
        <f t="shared" si="325"/>
        <v>0</v>
      </c>
      <c r="R209" s="147">
        <f t="shared" si="326"/>
        <v>0</v>
      </c>
      <c r="S209" s="147">
        <f t="shared" si="327"/>
        <v>0</v>
      </c>
      <c r="T209" s="200" t="str">
        <f t="shared" ref="T209" si="428">IF(J209="","",VLOOKUP(J209,Kengetal,13,FALSE))</f>
        <v>B</v>
      </c>
      <c r="U209" s="214">
        <v>1</v>
      </c>
      <c r="V209" s="214">
        <v>1</v>
      </c>
      <c r="W209" s="214">
        <v>1</v>
      </c>
      <c r="X209" s="214">
        <v>1</v>
      </c>
      <c r="Y209" s="142"/>
      <c r="Z209" s="149">
        <f t="shared" ref="Z209" si="429">I209*K209</f>
        <v>592.80000000000007</v>
      </c>
      <c r="AA209" s="150">
        <f t="shared" ref="AA209" si="430">L209+M209+N209+O209</f>
        <v>1.506409411764706</v>
      </c>
      <c r="AB209" s="151"/>
      <c r="AE209" s="582">
        <f t="shared" ref="AE209" si="431">SUMIF(H209,"Linoleum",I209)</f>
        <v>0</v>
      </c>
      <c r="AF209" s="582">
        <f t="shared" ref="AF209" si="432">SUMIF(H209,"Tapijt",I209)</f>
        <v>5.7</v>
      </c>
    </row>
    <row r="210" spans="2:32" ht="18" customHeight="1">
      <c r="B210" s="220" t="s">
        <v>260</v>
      </c>
      <c r="C210" s="221" t="s">
        <v>57</v>
      </c>
      <c r="D210" s="143">
        <v>2</v>
      </c>
      <c r="E210" s="144">
        <v>278</v>
      </c>
      <c r="F210" s="63" t="s">
        <v>281</v>
      </c>
      <c r="G210" s="63" t="s">
        <v>271</v>
      </c>
      <c r="H210" s="51" t="s">
        <v>296</v>
      </c>
      <c r="I210" s="145">
        <v>8.1999999999999993</v>
      </c>
      <c r="J210" s="213">
        <v>5255</v>
      </c>
      <c r="K210" s="146">
        <f t="shared" si="323"/>
        <v>255</v>
      </c>
      <c r="L210" s="147">
        <f t="shared" si="1"/>
        <v>6.4205999999999994</v>
      </c>
      <c r="M210" s="147">
        <f t="shared" si="2"/>
        <v>0</v>
      </c>
      <c r="N210" s="147">
        <f t="shared" si="3"/>
        <v>0</v>
      </c>
      <c r="O210" s="147">
        <f t="shared" si="4"/>
        <v>0</v>
      </c>
      <c r="P210" s="148">
        <f t="shared" si="324"/>
        <v>0.78300000000000003</v>
      </c>
      <c r="Q210" s="147">
        <f t="shared" si="325"/>
        <v>0</v>
      </c>
      <c r="R210" s="147">
        <f t="shared" si="326"/>
        <v>0</v>
      </c>
      <c r="S210" s="147">
        <f t="shared" si="327"/>
        <v>0</v>
      </c>
      <c r="T210" s="200" t="str">
        <f t="shared" si="328"/>
        <v>V</v>
      </c>
      <c r="U210" s="214">
        <v>1</v>
      </c>
      <c r="V210" s="214">
        <v>1</v>
      </c>
      <c r="W210" s="214">
        <v>1</v>
      </c>
      <c r="X210" s="214">
        <v>1</v>
      </c>
      <c r="Y210" s="142"/>
      <c r="Z210" s="149">
        <f t="shared" si="329"/>
        <v>2091</v>
      </c>
      <c r="AA210" s="150">
        <f t="shared" si="330"/>
        <v>6.4205999999999994</v>
      </c>
      <c r="AB210" s="151"/>
      <c r="AE210" s="582">
        <f t="shared" si="331"/>
        <v>0</v>
      </c>
      <c r="AF210" s="582">
        <f t="shared" si="332"/>
        <v>0</v>
      </c>
    </row>
    <row r="211" spans="2:32" ht="18" customHeight="1">
      <c r="B211" s="220" t="s">
        <v>260</v>
      </c>
      <c r="C211" s="221" t="s">
        <v>57</v>
      </c>
      <c r="D211" s="143">
        <v>2</v>
      </c>
      <c r="E211" s="144">
        <v>216</v>
      </c>
      <c r="F211" s="63" t="s">
        <v>353</v>
      </c>
      <c r="G211" s="63" t="s">
        <v>271</v>
      </c>
      <c r="H211" s="51" t="s">
        <v>418</v>
      </c>
      <c r="I211" s="145">
        <v>73.8</v>
      </c>
      <c r="J211" s="213">
        <v>3255</v>
      </c>
      <c r="K211" s="146">
        <f t="shared" si="323"/>
        <v>255</v>
      </c>
      <c r="L211" s="147">
        <f t="shared" si="1"/>
        <v>27.601199999999999</v>
      </c>
      <c r="M211" s="147">
        <f t="shared" si="2"/>
        <v>0</v>
      </c>
      <c r="N211" s="147">
        <f t="shared" si="3"/>
        <v>0</v>
      </c>
      <c r="O211" s="147">
        <f t="shared" si="4"/>
        <v>0</v>
      </c>
      <c r="P211" s="148">
        <f t="shared" si="324"/>
        <v>0.374</v>
      </c>
      <c r="Q211" s="147">
        <f t="shared" si="325"/>
        <v>0</v>
      </c>
      <c r="R211" s="147">
        <f t="shared" si="326"/>
        <v>0</v>
      </c>
      <c r="S211" s="147">
        <f t="shared" si="327"/>
        <v>0</v>
      </c>
      <c r="T211" s="200" t="str">
        <f t="shared" si="328"/>
        <v>V</v>
      </c>
      <c r="U211" s="214">
        <v>1</v>
      </c>
      <c r="V211" s="214">
        <v>1</v>
      </c>
      <c r="W211" s="214">
        <v>1</v>
      </c>
      <c r="X211" s="214">
        <v>1</v>
      </c>
      <c r="Y211" s="142"/>
      <c r="Z211" s="149">
        <f t="shared" si="329"/>
        <v>18819</v>
      </c>
      <c r="AA211" s="150">
        <f t="shared" si="330"/>
        <v>27.601199999999999</v>
      </c>
      <c r="AB211" s="151"/>
      <c r="AE211" s="582">
        <f t="shared" si="331"/>
        <v>73.8</v>
      </c>
      <c r="AF211" s="582">
        <f t="shared" si="332"/>
        <v>0</v>
      </c>
    </row>
    <row r="212" spans="2:32" ht="18" customHeight="1">
      <c r="B212" s="220" t="s">
        <v>260</v>
      </c>
      <c r="C212" s="221" t="s">
        <v>57</v>
      </c>
      <c r="D212" s="143">
        <v>2</v>
      </c>
      <c r="E212" s="144">
        <v>276</v>
      </c>
      <c r="F212" s="63" t="s">
        <v>281</v>
      </c>
      <c r="G212" s="63" t="s">
        <v>271</v>
      </c>
      <c r="H212" s="51" t="s">
        <v>296</v>
      </c>
      <c r="I212" s="145">
        <v>3.5</v>
      </c>
      <c r="J212" s="213">
        <v>5052</v>
      </c>
      <c r="K212" s="146">
        <f t="shared" si="323"/>
        <v>52</v>
      </c>
      <c r="L212" s="147">
        <f t="shared" si="1"/>
        <v>0.78238588235294115</v>
      </c>
      <c r="M212" s="147">
        <f t="shared" si="2"/>
        <v>0</v>
      </c>
      <c r="N212" s="147">
        <f t="shared" si="3"/>
        <v>0</v>
      </c>
      <c r="O212" s="147">
        <f t="shared" si="4"/>
        <v>0</v>
      </c>
      <c r="P212" s="148">
        <f t="shared" si="324"/>
        <v>0.22353882352941176</v>
      </c>
      <c r="Q212" s="147">
        <f t="shared" si="325"/>
        <v>0</v>
      </c>
      <c r="R212" s="147">
        <f t="shared" si="326"/>
        <v>0</v>
      </c>
      <c r="S212" s="147">
        <f t="shared" si="327"/>
        <v>0</v>
      </c>
      <c r="T212" s="200" t="str">
        <f t="shared" si="328"/>
        <v>V</v>
      </c>
      <c r="U212" s="214">
        <v>1</v>
      </c>
      <c r="V212" s="214">
        <v>1</v>
      </c>
      <c r="W212" s="214">
        <v>1</v>
      </c>
      <c r="X212" s="214">
        <v>1</v>
      </c>
      <c r="Y212" s="142"/>
      <c r="Z212" s="149">
        <f t="shared" si="329"/>
        <v>182</v>
      </c>
      <c r="AA212" s="150">
        <f t="shared" si="330"/>
        <v>0.78238588235294115</v>
      </c>
      <c r="AB212" s="151"/>
      <c r="AE212" s="582">
        <f t="shared" si="331"/>
        <v>0</v>
      </c>
      <c r="AF212" s="582">
        <f t="shared" si="332"/>
        <v>0</v>
      </c>
    </row>
    <row r="213" spans="2:32" ht="18" customHeight="1">
      <c r="B213" s="220" t="s">
        <v>260</v>
      </c>
      <c r="C213" s="221" t="s">
        <v>57</v>
      </c>
      <c r="D213" s="143">
        <v>2</v>
      </c>
      <c r="E213" s="144" t="s">
        <v>443</v>
      </c>
      <c r="F213" s="63" t="s">
        <v>363</v>
      </c>
      <c r="G213" s="63" t="s">
        <v>266</v>
      </c>
      <c r="H213" s="51" t="s">
        <v>276</v>
      </c>
      <c r="I213" s="145">
        <v>15.1</v>
      </c>
      <c r="J213" s="213">
        <v>2510</v>
      </c>
      <c r="K213" s="146">
        <f t="shared" si="323"/>
        <v>510</v>
      </c>
      <c r="L213" s="147">
        <f t="shared" si="1"/>
        <v>48.440800000000003</v>
      </c>
      <c r="M213" s="147">
        <f t="shared" si="2"/>
        <v>24.220400000000001</v>
      </c>
      <c r="N213" s="147">
        <f t="shared" si="3"/>
        <v>0</v>
      </c>
      <c r="O213" s="147">
        <f t="shared" si="4"/>
        <v>0</v>
      </c>
      <c r="P213" s="148">
        <f t="shared" si="324"/>
        <v>3.2080000000000002</v>
      </c>
      <c r="Q213" s="147">
        <f t="shared" si="325"/>
        <v>1.6040000000000001</v>
      </c>
      <c r="R213" s="147">
        <f t="shared" si="326"/>
        <v>0</v>
      </c>
      <c r="S213" s="147">
        <f t="shared" si="327"/>
        <v>0</v>
      </c>
      <c r="T213" s="200" t="str">
        <f t="shared" si="328"/>
        <v>S</v>
      </c>
      <c r="U213" s="214">
        <v>1</v>
      </c>
      <c r="V213" s="214">
        <v>1</v>
      </c>
      <c r="W213" s="214">
        <v>1</v>
      </c>
      <c r="X213" s="214">
        <v>1</v>
      </c>
      <c r="Y213" s="142"/>
      <c r="Z213" s="149">
        <f t="shared" si="329"/>
        <v>7701</v>
      </c>
      <c r="AA213" s="150">
        <f t="shared" si="330"/>
        <v>72.661200000000008</v>
      </c>
      <c r="AB213" s="151"/>
      <c r="AE213" s="582">
        <f t="shared" si="331"/>
        <v>0</v>
      </c>
      <c r="AF213" s="582">
        <f t="shared" si="332"/>
        <v>0</v>
      </c>
    </row>
    <row r="214" spans="2:32" ht="18" customHeight="1">
      <c r="B214" s="220" t="s">
        <v>260</v>
      </c>
      <c r="C214" s="221" t="s">
        <v>57</v>
      </c>
      <c r="D214" s="143">
        <v>2</v>
      </c>
      <c r="E214" s="144">
        <v>280</v>
      </c>
      <c r="F214" s="63" t="s">
        <v>383</v>
      </c>
      <c r="G214" s="63" t="s">
        <v>263</v>
      </c>
      <c r="H214" s="51" t="s">
        <v>76</v>
      </c>
      <c r="I214" s="145">
        <v>270</v>
      </c>
      <c r="J214" s="213">
        <v>1104</v>
      </c>
      <c r="K214" s="146">
        <f t="shared" si="323"/>
        <v>104</v>
      </c>
      <c r="L214" s="147">
        <f t="shared" si="1"/>
        <v>71.356235294117653</v>
      </c>
      <c r="M214" s="147">
        <f t="shared" si="2"/>
        <v>0</v>
      </c>
      <c r="N214" s="147">
        <f t="shared" si="3"/>
        <v>0</v>
      </c>
      <c r="O214" s="147">
        <f t="shared" si="4"/>
        <v>0</v>
      </c>
      <c r="P214" s="148">
        <f t="shared" si="324"/>
        <v>0.26428235294117647</v>
      </c>
      <c r="Q214" s="147">
        <f t="shared" si="325"/>
        <v>0</v>
      </c>
      <c r="R214" s="147">
        <f t="shared" si="326"/>
        <v>0</v>
      </c>
      <c r="S214" s="147">
        <f t="shared" si="327"/>
        <v>0</v>
      </c>
      <c r="T214" s="200" t="str">
        <f t="shared" si="328"/>
        <v>B</v>
      </c>
      <c r="U214" s="214">
        <v>1</v>
      </c>
      <c r="V214" s="214">
        <v>1</v>
      </c>
      <c r="W214" s="214">
        <v>1</v>
      </c>
      <c r="X214" s="214">
        <v>1</v>
      </c>
      <c r="Y214" s="142"/>
      <c r="Z214" s="149">
        <f t="shared" si="329"/>
        <v>28080</v>
      </c>
      <c r="AA214" s="150">
        <f t="shared" si="330"/>
        <v>71.356235294117653</v>
      </c>
      <c r="AB214" s="151"/>
      <c r="AE214" s="582">
        <f t="shared" si="331"/>
        <v>0</v>
      </c>
      <c r="AF214" s="582">
        <f t="shared" si="332"/>
        <v>270</v>
      </c>
    </row>
    <row r="215" spans="2:32" ht="18" customHeight="1">
      <c r="B215" s="220" t="s">
        <v>260</v>
      </c>
      <c r="C215" s="221" t="s">
        <v>57</v>
      </c>
      <c r="D215" s="143">
        <v>2</v>
      </c>
      <c r="E215" s="144" t="s">
        <v>444</v>
      </c>
      <c r="F215" s="63" t="s">
        <v>363</v>
      </c>
      <c r="G215" s="63" t="s">
        <v>266</v>
      </c>
      <c r="H215" s="51" t="s">
        <v>276</v>
      </c>
      <c r="I215" s="145">
        <v>3.5</v>
      </c>
      <c r="J215" s="213">
        <v>2510</v>
      </c>
      <c r="K215" s="146">
        <f t="shared" si="323"/>
        <v>510</v>
      </c>
      <c r="L215" s="147">
        <f t="shared" si="1"/>
        <v>11.228000000000002</v>
      </c>
      <c r="M215" s="147">
        <f t="shared" si="2"/>
        <v>5.6140000000000008</v>
      </c>
      <c r="N215" s="147">
        <f t="shared" si="3"/>
        <v>0</v>
      </c>
      <c r="O215" s="147">
        <f t="shared" si="4"/>
        <v>0</v>
      </c>
      <c r="P215" s="148">
        <f t="shared" si="324"/>
        <v>3.2080000000000002</v>
      </c>
      <c r="Q215" s="147">
        <f t="shared" si="325"/>
        <v>1.6040000000000001</v>
      </c>
      <c r="R215" s="147">
        <f t="shared" si="326"/>
        <v>0</v>
      </c>
      <c r="S215" s="147">
        <f t="shared" si="327"/>
        <v>0</v>
      </c>
      <c r="T215" s="200" t="str">
        <f t="shared" si="328"/>
        <v>S</v>
      </c>
      <c r="U215" s="214">
        <v>1</v>
      </c>
      <c r="V215" s="214">
        <v>1</v>
      </c>
      <c r="W215" s="214">
        <v>1</v>
      </c>
      <c r="X215" s="214">
        <v>1</v>
      </c>
      <c r="Y215" s="142"/>
      <c r="Z215" s="149">
        <f t="shared" si="329"/>
        <v>1785</v>
      </c>
      <c r="AA215" s="150">
        <f t="shared" si="330"/>
        <v>16.842000000000002</v>
      </c>
      <c r="AB215" s="151"/>
      <c r="AE215" s="582">
        <f t="shared" si="331"/>
        <v>0</v>
      </c>
      <c r="AF215" s="582">
        <f t="shared" si="332"/>
        <v>0</v>
      </c>
    </row>
    <row r="216" spans="2:32" ht="18" customHeight="1">
      <c r="B216" s="220" t="s">
        <v>260</v>
      </c>
      <c r="C216" s="221" t="s">
        <v>57</v>
      </c>
      <c r="D216" s="143">
        <v>2</v>
      </c>
      <c r="E216" s="144" t="s">
        <v>445</v>
      </c>
      <c r="F216" s="63" t="s">
        <v>363</v>
      </c>
      <c r="G216" s="63" t="s">
        <v>266</v>
      </c>
      <c r="H216" s="51" t="s">
        <v>276</v>
      </c>
      <c r="I216" s="145">
        <v>4.5</v>
      </c>
      <c r="J216" s="213">
        <v>2510</v>
      </c>
      <c r="K216" s="146">
        <f t="shared" si="323"/>
        <v>510</v>
      </c>
      <c r="L216" s="147">
        <f t="shared" si="1"/>
        <v>14.436</v>
      </c>
      <c r="M216" s="147">
        <f t="shared" si="2"/>
        <v>7.218</v>
      </c>
      <c r="N216" s="147">
        <f t="shared" si="3"/>
        <v>0</v>
      </c>
      <c r="O216" s="147">
        <f t="shared" si="4"/>
        <v>0</v>
      </c>
      <c r="P216" s="148">
        <f t="shared" si="324"/>
        <v>3.2080000000000002</v>
      </c>
      <c r="Q216" s="147">
        <f t="shared" si="325"/>
        <v>1.6040000000000001</v>
      </c>
      <c r="R216" s="147">
        <f t="shared" si="326"/>
        <v>0</v>
      </c>
      <c r="S216" s="147">
        <f t="shared" si="327"/>
        <v>0</v>
      </c>
      <c r="T216" s="200" t="str">
        <f t="shared" si="328"/>
        <v>S</v>
      </c>
      <c r="U216" s="214">
        <v>1</v>
      </c>
      <c r="V216" s="214">
        <v>1</v>
      </c>
      <c r="W216" s="214">
        <v>1</v>
      </c>
      <c r="X216" s="214">
        <v>1</v>
      </c>
      <c r="Y216" s="142"/>
      <c r="Z216" s="149">
        <f t="shared" si="329"/>
        <v>2295</v>
      </c>
      <c r="AA216" s="150">
        <f t="shared" si="330"/>
        <v>21.654</v>
      </c>
      <c r="AB216" s="151"/>
      <c r="AE216" s="582">
        <f t="shared" si="331"/>
        <v>0</v>
      </c>
      <c r="AF216" s="582">
        <f t="shared" si="332"/>
        <v>0</v>
      </c>
    </row>
    <row r="217" spans="2:32" ht="18" customHeight="1">
      <c r="B217" s="220" t="s">
        <v>260</v>
      </c>
      <c r="C217" s="221" t="s">
        <v>57</v>
      </c>
      <c r="D217" s="143">
        <v>2</v>
      </c>
      <c r="E217" s="144" t="s">
        <v>446</v>
      </c>
      <c r="F217" s="63" t="s">
        <v>363</v>
      </c>
      <c r="G217" s="63" t="s">
        <v>266</v>
      </c>
      <c r="H217" s="51" t="s">
        <v>276</v>
      </c>
      <c r="I217" s="145">
        <v>4.7</v>
      </c>
      <c r="J217" s="213">
        <v>2510</v>
      </c>
      <c r="K217" s="146">
        <f t="shared" si="323"/>
        <v>510</v>
      </c>
      <c r="L217" s="147">
        <f t="shared" si="1"/>
        <v>15.077600000000002</v>
      </c>
      <c r="M217" s="147">
        <f t="shared" si="2"/>
        <v>7.5388000000000011</v>
      </c>
      <c r="N217" s="147">
        <f t="shared" si="3"/>
        <v>0</v>
      </c>
      <c r="O217" s="147">
        <f t="shared" si="4"/>
        <v>0</v>
      </c>
      <c r="P217" s="148">
        <f t="shared" si="324"/>
        <v>3.2080000000000002</v>
      </c>
      <c r="Q217" s="147">
        <f t="shared" si="325"/>
        <v>1.6040000000000001</v>
      </c>
      <c r="R217" s="147">
        <f t="shared" si="326"/>
        <v>0</v>
      </c>
      <c r="S217" s="147">
        <f t="shared" si="327"/>
        <v>0</v>
      </c>
      <c r="T217" s="200" t="str">
        <f t="shared" si="328"/>
        <v>S</v>
      </c>
      <c r="U217" s="214">
        <v>1</v>
      </c>
      <c r="V217" s="214">
        <v>1</v>
      </c>
      <c r="W217" s="214">
        <v>1</v>
      </c>
      <c r="X217" s="214">
        <v>1</v>
      </c>
      <c r="Y217" s="142"/>
      <c r="Z217" s="149">
        <f t="shared" si="329"/>
        <v>2397</v>
      </c>
      <c r="AA217" s="150">
        <f t="shared" si="330"/>
        <v>22.616400000000002</v>
      </c>
      <c r="AB217" s="151"/>
      <c r="AE217" s="582">
        <f t="shared" si="331"/>
        <v>0</v>
      </c>
      <c r="AF217" s="582">
        <f t="shared" si="332"/>
        <v>0</v>
      </c>
    </row>
    <row r="218" spans="2:32" ht="18" customHeight="1">
      <c r="B218" s="220" t="s">
        <v>260</v>
      </c>
      <c r="C218" s="221" t="s">
        <v>57</v>
      </c>
      <c r="D218" s="143">
        <v>2</v>
      </c>
      <c r="E218" s="144">
        <v>211</v>
      </c>
      <c r="F218" s="63" t="s">
        <v>281</v>
      </c>
      <c r="G218" s="63" t="s">
        <v>271</v>
      </c>
      <c r="H218" s="51" t="s">
        <v>76</v>
      </c>
      <c r="I218" s="145">
        <v>4.4000000000000004</v>
      </c>
      <c r="J218" s="213">
        <v>5052</v>
      </c>
      <c r="K218" s="146">
        <f t="shared" si="323"/>
        <v>52</v>
      </c>
      <c r="L218" s="147">
        <f t="shared" si="1"/>
        <v>0.98357082352941183</v>
      </c>
      <c r="M218" s="147">
        <f t="shared" si="2"/>
        <v>0</v>
      </c>
      <c r="N218" s="147">
        <f t="shared" si="3"/>
        <v>0</v>
      </c>
      <c r="O218" s="147">
        <f t="shared" si="4"/>
        <v>0</v>
      </c>
      <c r="P218" s="148">
        <f t="shared" si="324"/>
        <v>0.22353882352941176</v>
      </c>
      <c r="Q218" s="147">
        <f t="shared" si="325"/>
        <v>0</v>
      </c>
      <c r="R218" s="147">
        <f t="shared" si="326"/>
        <v>0</v>
      </c>
      <c r="S218" s="147">
        <f t="shared" si="327"/>
        <v>0</v>
      </c>
      <c r="T218" s="200" t="str">
        <f t="shared" si="328"/>
        <v>V</v>
      </c>
      <c r="U218" s="214">
        <v>1</v>
      </c>
      <c r="V218" s="214">
        <v>1</v>
      </c>
      <c r="W218" s="214">
        <v>1</v>
      </c>
      <c r="X218" s="214">
        <v>1</v>
      </c>
      <c r="Y218" s="142"/>
      <c r="Z218" s="149">
        <f t="shared" si="329"/>
        <v>228.8</v>
      </c>
      <c r="AA218" s="150">
        <f t="shared" si="330"/>
        <v>0.98357082352941183</v>
      </c>
      <c r="AB218" s="151"/>
      <c r="AE218" s="582">
        <f t="shared" si="331"/>
        <v>0</v>
      </c>
      <c r="AF218" s="582">
        <f t="shared" si="332"/>
        <v>4.4000000000000004</v>
      </c>
    </row>
    <row r="219" spans="2:32" ht="18" customHeight="1">
      <c r="B219" s="220" t="s">
        <v>260</v>
      </c>
      <c r="C219" s="221" t="s">
        <v>57</v>
      </c>
      <c r="D219" s="143">
        <v>2</v>
      </c>
      <c r="E219" s="144">
        <v>2100</v>
      </c>
      <c r="F219" s="63" t="s">
        <v>413</v>
      </c>
      <c r="G219" s="63" t="s">
        <v>271</v>
      </c>
      <c r="H219" s="51" t="s">
        <v>76</v>
      </c>
      <c r="I219" s="145">
        <v>72.5</v>
      </c>
      <c r="J219" s="213">
        <v>3255</v>
      </c>
      <c r="K219" s="146">
        <f t="shared" ref="K219:K232" si="433">SUM(IF(J219="",0,VLOOKUP(J219,Kengetal,2)))</f>
        <v>255</v>
      </c>
      <c r="L219" s="147">
        <f t="shared" ref="L219:L232" si="434">P219*I219*U219</f>
        <v>27.114999999999998</v>
      </c>
      <c r="M219" s="147">
        <f t="shared" ref="M219:M232" si="435">Q219*I219*V219</f>
        <v>0</v>
      </c>
      <c r="N219" s="147">
        <f t="shared" ref="N219:N232" si="436">R219*I219*W219</f>
        <v>0</v>
      </c>
      <c r="O219" s="147">
        <f t="shared" ref="O219:O232" si="437">S219*I219*X219</f>
        <v>0</v>
      </c>
      <c r="P219" s="148">
        <f t="shared" si="324"/>
        <v>0.374</v>
      </c>
      <c r="Q219" s="147">
        <f t="shared" si="325"/>
        <v>0</v>
      </c>
      <c r="R219" s="147">
        <f t="shared" si="326"/>
        <v>0</v>
      </c>
      <c r="S219" s="147">
        <f t="shared" si="327"/>
        <v>0</v>
      </c>
      <c r="T219" s="200" t="str">
        <f t="shared" ref="T219:T232" si="438">IF(J219="","",VLOOKUP(J219,Kengetal,13,FALSE))</f>
        <v>V</v>
      </c>
      <c r="U219" s="214">
        <v>1</v>
      </c>
      <c r="V219" s="214">
        <v>1</v>
      </c>
      <c r="W219" s="214">
        <v>1</v>
      </c>
      <c r="X219" s="214">
        <v>1</v>
      </c>
      <c r="Y219" s="142"/>
      <c r="Z219" s="149">
        <f t="shared" si="329"/>
        <v>18487.5</v>
      </c>
      <c r="AA219" s="150">
        <f t="shared" si="330"/>
        <v>27.114999999999998</v>
      </c>
      <c r="AB219" s="151"/>
      <c r="AE219" s="582">
        <f t="shared" si="331"/>
        <v>0</v>
      </c>
      <c r="AF219" s="582">
        <f t="shared" si="332"/>
        <v>72.5</v>
      </c>
    </row>
    <row r="220" spans="2:32" ht="18" customHeight="1">
      <c r="B220" s="220" t="s">
        <v>260</v>
      </c>
      <c r="C220" s="221" t="s">
        <v>57</v>
      </c>
      <c r="D220" s="143">
        <v>2</v>
      </c>
      <c r="E220" s="144" t="s">
        <v>447</v>
      </c>
      <c r="F220" s="63" t="s">
        <v>262</v>
      </c>
      <c r="G220" s="63" t="s">
        <v>263</v>
      </c>
      <c r="H220" s="51" t="s">
        <v>76</v>
      </c>
      <c r="I220" s="145">
        <v>7</v>
      </c>
      <c r="J220" s="213">
        <v>1104</v>
      </c>
      <c r="K220" s="146">
        <f t="shared" si="433"/>
        <v>104</v>
      </c>
      <c r="L220" s="147">
        <f t="shared" si="434"/>
        <v>1.8499764705882353</v>
      </c>
      <c r="M220" s="147">
        <f t="shared" si="435"/>
        <v>0</v>
      </c>
      <c r="N220" s="147">
        <f t="shared" si="436"/>
        <v>0</v>
      </c>
      <c r="O220" s="147">
        <f t="shared" si="437"/>
        <v>0</v>
      </c>
      <c r="P220" s="148">
        <f t="shared" si="324"/>
        <v>0.26428235294117647</v>
      </c>
      <c r="Q220" s="147">
        <f t="shared" si="325"/>
        <v>0</v>
      </c>
      <c r="R220" s="147">
        <f t="shared" si="326"/>
        <v>0</v>
      </c>
      <c r="S220" s="147">
        <f t="shared" si="327"/>
        <v>0</v>
      </c>
      <c r="T220" s="200" t="str">
        <f t="shared" si="438"/>
        <v>B</v>
      </c>
      <c r="U220" s="214">
        <v>1</v>
      </c>
      <c r="V220" s="214">
        <v>1</v>
      </c>
      <c r="W220" s="214">
        <v>1</v>
      </c>
      <c r="X220" s="214">
        <v>1</v>
      </c>
      <c r="Y220" s="142"/>
      <c r="Z220" s="149">
        <f t="shared" si="329"/>
        <v>728</v>
      </c>
      <c r="AA220" s="150">
        <f t="shared" si="330"/>
        <v>1.8499764705882353</v>
      </c>
      <c r="AB220" s="151"/>
      <c r="AE220" s="582">
        <f t="shared" si="331"/>
        <v>0</v>
      </c>
      <c r="AF220" s="582">
        <f t="shared" si="332"/>
        <v>7</v>
      </c>
    </row>
    <row r="221" spans="2:32" ht="18" customHeight="1">
      <c r="B221" s="220" t="s">
        <v>260</v>
      </c>
      <c r="C221" s="221" t="s">
        <v>57</v>
      </c>
      <c r="D221" s="143">
        <v>2</v>
      </c>
      <c r="E221" s="144" t="s">
        <v>448</v>
      </c>
      <c r="F221" s="63" t="s">
        <v>262</v>
      </c>
      <c r="G221" s="63" t="s">
        <v>263</v>
      </c>
      <c r="H221" s="51" t="s">
        <v>76</v>
      </c>
      <c r="I221" s="145">
        <v>7</v>
      </c>
      <c r="J221" s="213">
        <v>1104</v>
      </c>
      <c r="K221" s="146">
        <f t="shared" si="433"/>
        <v>104</v>
      </c>
      <c r="L221" s="147">
        <f t="shared" si="434"/>
        <v>1.8499764705882353</v>
      </c>
      <c r="M221" s="147">
        <f t="shared" si="435"/>
        <v>0</v>
      </c>
      <c r="N221" s="147">
        <f t="shared" si="436"/>
        <v>0</v>
      </c>
      <c r="O221" s="147">
        <f t="shared" si="437"/>
        <v>0</v>
      </c>
      <c r="P221" s="148">
        <f t="shared" si="324"/>
        <v>0.26428235294117647</v>
      </c>
      <c r="Q221" s="147">
        <f t="shared" si="325"/>
        <v>0</v>
      </c>
      <c r="R221" s="147">
        <f t="shared" si="326"/>
        <v>0</v>
      </c>
      <c r="S221" s="147">
        <f t="shared" si="327"/>
        <v>0</v>
      </c>
      <c r="T221" s="200" t="str">
        <f t="shared" si="438"/>
        <v>B</v>
      </c>
      <c r="U221" s="214">
        <v>1</v>
      </c>
      <c r="V221" s="214">
        <v>1</v>
      </c>
      <c r="W221" s="214">
        <v>1</v>
      </c>
      <c r="X221" s="214">
        <v>1</v>
      </c>
      <c r="Y221" s="142"/>
      <c r="Z221" s="149">
        <f t="shared" si="329"/>
        <v>728</v>
      </c>
      <c r="AA221" s="150">
        <f t="shared" si="330"/>
        <v>1.8499764705882353</v>
      </c>
      <c r="AB221" s="151"/>
      <c r="AE221" s="582">
        <f t="shared" si="331"/>
        <v>0</v>
      </c>
      <c r="AF221" s="582">
        <f t="shared" si="332"/>
        <v>7</v>
      </c>
    </row>
    <row r="222" spans="2:32" ht="18" customHeight="1">
      <c r="B222" s="220" t="s">
        <v>260</v>
      </c>
      <c r="C222" s="221" t="s">
        <v>57</v>
      </c>
      <c r="D222" s="143">
        <v>2</v>
      </c>
      <c r="E222" s="144" t="s">
        <v>449</v>
      </c>
      <c r="F222" s="63" t="s">
        <v>262</v>
      </c>
      <c r="G222" s="63" t="s">
        <v>263</v>
      </c>
      <c r="H222" s="51" t="s">
        <v>76</v>
      </c>
      <c r="I222" s="145">
        <v>7</v>
      </c>
      <c r="J222" s="213">
        <v>1104</v>
      </c>
      <c r="K222" s="146">
        <f t="shared" si="433"/>
        <v>104</v>
      </c>
      <c r="L222" s="147">
        <f t="shared" si="434"/>
        <v>1.8499764705882353</v>
      </c>
      <c r="M222" s="147">
        <f t="shared" si="435"/>
        <v>0</v>
      </c>
      <c r="N222" s="147">
        <f t="shared" si="436"/>
        <v>0</v>
      </c>
      <c r="O222" s="147">
        <f t="shared" si="437"/>
        <v>0</v>
      </c>
      <c r="P222" s="148">
        <f t="shared" si="324"/>
        <v>0.26428235294117647</v>
      </c>
      <c r="Q222" s="147">
        <f t="shared" si="325"/>
        <v>0</v>
      </c>
      <c r="R222" s="147">
        <f t="shared" si="326"/>
        <v>0</v>
      </c>
      <c r="S222" s="147">
        <f t="shared" si="327"/>
        <v>0</v>
      </c>
      <c r="T222" s="200" t="str">
        <f t="shared" si="438"/>
        <v>B</v>
      </c>
      <c r="U222" s="214">
        <v>1</v>
      </c>
      <c r="V222" s="214">
        <v>1</v>
      </c>
      <c r="W222" s="214">
        <v>1</v>
      </c>
      <c r="X222" s="214">
        <v>1</v>
      </c>
      <c r="Y222" s="142"/>
      <c r="Z222" s="149">
        <f t="shared" si="329"/>
        <v>728</v>
      </c>
      <c r="AA222" s="150">
        <f t="shared" si="330"/>
        <v>1.8499764705882353</v>
      </c>
      <c r="AB222" s="151"/>
      <c r="AE222" s="582">
        <f t="shared" si="331"/>
        <v>0</v>
      </c>
      <c r="AF222" s="582">
        <f t="shared" si="332"/>
        <v>7</v>
      </c>
    </row>
    <row r="223" spans="2:32" ht="18" customHeight="1">
      <c r="B223" s="220" t="s">
        <v>260</v>
      </c>
      <c r="C223" s="221" t="s">
        <v>57</v>
      </c>
      <c r="D223" s="143">
        <v>2</v>
      </c>
      <c r="E223" s="144">
        <v>2102</v>
      </c>
      <c r="F223" s="63" t="s">
        <v>262</v>
      </c>
      <c r="G223" s="63" t="s">
        <v>263</v>
      </c>
      <c r="H223" s="51" t="s">
        <v>76</v>
      </c>
      <c r="I223" s="145">
        <v>9.5</v>
      </c>
      <c r="J223" s="213">
        <v>1104</v>
      </c>
      <c r="K223" s="146">
        <f t="shared" si="433"/>
        <v>104</v>
      </c>
      <c r="L223" s="147">
        <f t="shared" si="434"/>
        <v>2.5106823529411764</v>
      </c>
      <c r="M223" s="147">
        <f t="shared" si="435"/>
        <v>0</v>
      </c>
      <c r="N223" s="147">
        <f t="shared" si="436"/>
        <v>0</v>
      </c>
      <c r="O223" s="147">
        <f t="shared" si="437"/>
        <v>0</v>
      </c>
      <c r="P223" s="148">
        <f t="shared" si="324"/>
        <v>0.26428235294117647</v>
      </c>
      <c r="Q223" s="147">
        <f t="shared" si="325"/>
        <v>0</v>
      </c>
      <c r="R223" s="147">
        <f t="shared" si="326"/>
        <v>0</v>
      </c>
      <c r="S223" s="147">
        <f t="shared" si="327"/>
        <v>0</v>
      </c>
      <c r="T223" s="200" t="str">
        <f t="shared" si="438"/>
        <v>B</v>
      </c>
      <c r="U223" s="214">
        <v>1</v>
      </c>
      <c r="V223" s="214">
        <v>1</v>
      </c>
      <c r="W223" s="214">
        <v>1</v>
      </c>
      <c r="X223" s="214">
        <v>1</v>
      </c>
      <c r="Y223" s="142"/>
      <c r="Z223" s="149">
        <f t="shared" si="329"/>
        <v>988</v>
      </c>
      <c r="AA223" s="150">
        <f t="shared" si="330"/>
        <v>2.5106823529411764</v>
      </c>
      <c r="AB223" s="151"/>
      <c r="AE223" s="582">
        <f t="shared" si="331"/>
        <v>0</v>
      </c>
      <c r="AF223" s="582">
        <f t="shared" si="332"/>
        <v>9.5</v>
      </c>
    </row>
    <row r="224" spans="2:32" ht="18" customHeight="1">
      <c r="B224" s="220" t="s">
        <v>260</v>
      </c>
      <c r="C224" s="221" t="s">
        <v>57</v>
      </c>
      <c r="D224" s="143">
        <v>2</v>
      </c>
      <c r="E224" s="144">
        <v>2103</v>
      </c>
      <c r="F224" s="63" t="s">
        <v>262</v>
      </c>
      <c r="G224" s="63" t="s">
        <v>263</v>
      </c>
      <c r="H224" s="51" t="s">
        <v>76</v>
      </c>
      <c r="I224" s="145">
        <v>11.2</v>
      </c>
      <c r="J224" s="213">
        <v>1104</v>
      </c>
      <c r="K224" s="146">
        <f t="shared" si="433"/>
        <v>104</v>
      </c>
      <c r="L224" s="147">
        <f t="shared" si="434"/>
        <v>2.9599623529411763</v>
      </c>
      <c r="M224" s="147">
        <f t="shared" si="435"/>
        <v>0</v>
      </c>
      <c r="N224" s="147">
        <f t="shared" si="436"/>
        <v>0</v>
      </c>
      <c r="O224" s="147">
        <f t="shared" si="437"/>
        <v>0</v>
      </c>
      <c r="P224" s="148">
        <f t="shared" si="324"/>
        <v>0.26428235294117647</v>
      </c>
      <c r="Q224" s="147">
        <f t="shared" si="325"/>
        <v>0</v>
      </c>
      <c r="R224" s="147">
        <f t="shared" si="326"/>
        <v>0</v>
      </c>
      <c r="S224" s="147">
        <f t="shared" si="327"/>
        <v>0</v>
      </c>
      <c r="T224" s="200" t="str">
        <f t="shared" si="438"/>
        <v>B</v>
      </c>
      <c r="U224" s="214">
        <v>1</v>
      </c>
      <c r="V224" s="214">
        <v>1</v>
      </c>
      <c r="W224" s="214">
        <v>1</v>
      </c>
      <c r="X224" s="214">
        <v>1</v>
      </c>
      <c r="Y224" s="142"/>
      <c r="Z224" s="149">
        <f t="shared" si="329"/>
        <v>1164.8</v>
      </c>
      <c r="AA224" s="150">
        <f t="shared" si="330"/>
        <v>2.9599623529411763</v>
      </c>
      <c r="AB224" s="151"/>
      <c r="AE224" s="582">
        <f t="shared" si="331"/>
        <v>0</v>
      </c>
      <c r="AF224" s="582">
        <f t="shared" si="332"/>
        <v>11.2</v>
      </c>
    </row>
    <row r="225" spans="2:32" ht="18" customHeight="1">
      <c r="B225" s="220" t="s">
        <v>260</v>
      </c>
      <c r="C225" s="221" t="s">
        <v>57</v>
      </c>
      <c r="D225" s="143">
        <v>2</v>
      </c>
      <c r="E225" s="144">
        <v>2104</v>
      </c>
      <c r="F225" s="63" t="s">
        <v>262</v>
      </c>
      <c r="G225" s="63" t="s">
        <v>263</v>
      </c>
      <c r="H225" s="51" t="s">
        <v>76</v>
      </c>
      <c r="I225" s="145">
        <v>20.3</v>
      </c>
      <c r="J225" s="213">
        <v>1104</v>
      </c>
      <c r="K225" s="146">
        <f t="shared" si="433"/>
        <v>104</v>
      </c>
      <c r="L225" s="147">
        <f t="shared" si="434"/>
        <v>5.3649317647058821</v>
      </c>
      <c r="M225" s="147">
        <f t="shared" si="435"/>
        <v>0</v>
      </c>
      <c r="N225" s="147">
        <f t="shared" si="436"/>
        <v>0</v>
      </c>
      <c r="O225" s="147">
        <f t="shared" si="437"/>
        <v>0</v>
      </c>
      <c r="P225" s="148">
        <f t="shared" si="324"/>
        <v>0.26428235294117647</v>
      </c>
      <c r="Q225" s="147">
        <f t="shared" si="325"/>
        <v>0</v>
      </c>
      <c r="R225" s="147">
        <f t="shared" si="326"/>
        <v>0</v>
      </c>
      <c r="S225" s="147">
        <f t="shared" si="327"/>
        <v>0</v>
      </c>
      <c r="T225" s="200" t="str">
        <f t="shared" si="438"/>
        <v>B</v>
      </c>
      <c r="U225" s="214">
        <v>1</v>
      </c>
      <c r="V225" s="214">
        <v>1</v>
      </c>
      <c r="W225" s="214">
        <v>1</v>
      </c>
      <c r="X225" s="214">
        <v>1</v>
      </c>
      <c r="Y225" s="142"/>
      <c r="Z225" s="149">
        <f t="shared" si="329"/>
        <v>2111.2000000000003</v>
      </c>
      <c r="AA225" s="150">
        <f t="shared" si="330"/>
        <v>5.3649317647058821</v>
      </c>
      <c r="AB225" s="151"/>
      <c r="AE225" s="582">
        <f t="shared" si="331"/>
        <v>0</v>
      </c>
      <c r="AF225" s="582">
        <f t="shared" si="332"/>
        <v>20.3</v>
      </c>
    </row>
    <row r="226" spans="2:32" ht="18" customHeight="1">
      <c r="B226" s="220" t="s">
        <v>260</v>
      </c>
      <c r="C226" s="221" t="s">
        <v>57</v>
      </c>
      <c r="D226" s="143">
        <v>2</v>
      </c>
      <c r="E226" s="144">
        <v>2105</v>
      </c>
      <c r="F226" s="63" t="s">
        <v>410</v>
      </c>
      <c r="G226" s="63" t="s">
        <v>271</v>
      </c>
      <c r="H226" s="51" t="s">
        <v>76</v>
      </c>
      <c r="I226" s="145">
        <v>4.5999999999999996</v>
      </c>
      <c r="J226" s="213">
        <v>3104</v>
      </c>
      <c r="K226" s="146">
        <f t="shared" si="433"/>
        <v>104</v>
      </c>
      <c r="L226" s="147">
        <f t="shared" si="434"/>
        <v>0.84198399999999984</v>
      </c>
      <c r="M226" s="147">
        <f t="shared" si="435"/>
        <v>0</v>
      </c>
      <c r="N226" s="147">
        <f t="shared" si="436"/>
        <v>0</v>
      </c>
      <c r="O226" s="147">
        <f t="shared" si="437"/>
        <v>0</v>
      </c>
      <c r="P226" s="148">
        <f t="shared" si="324"/>
        <v>0.18303999999999998</v>
      </c>
      <c r="Q226" s="147">
        <f t="shared" si="325"/>
        <v>0</v>
      </c>
      <c r="R226" s="147">
        <f t="shared" si="326"/>
        <v>0</v>
      </c>
      <c r="S226" s="147">
        <f t="shared" si="327"/>
        <v>0</v>
      </c>
      <c r="T226" s="200" t="str">
        <f t="shared" si="438"/>
        <v>V</v>
      </c>
      <c r="U226" s="214">
        <v>1</v>
      </c>
      <c r="V226" s="214">
        <v>1</v>
      </c>
      <c r="W226" s="214">
        <v>1</v>
      </c>
      <c r="X226" s="214">
        <v>1</v>
      </c>
      <c r="Y226" s="142"/>
      <c r="Z226" s="149">
        <f t="shared" si="329"/>
        <v>478.4</v>
      </c>
      <c r="AA226" s="150">
        <f t="shared" si="330"/>
        <v>0.84198399999999984</v>
      </c>
      <c r="AB226" s="151"/>
      <c r="AE226" s="582">
        <f t="shared" si="331"/>
        <v>0</v>
      </c>
      <c r="AF226" s="582">
        <f t="shared" si="332"/>
        <v>4.5999999999999996</v>
      </c>
    </row>
    <row r="227" spans="2:32" ht="18" customHeight="1">
      <c r="B227" s="220" t="s">
        <v>260</v>
      </c>
      <c r="C227" s="221" t="s">
        <v>57</v>
      </c>
      <c r="D227" s="143">
        <v>2</v>
      </c>
      <c r="E227" s="144">
        <v>2106</v>
      </c>
      <c r="F227" s="63" t="s">
        <v>262</v>
      </c>
      <c r="G227" s="63" t="s">
        <v>263</v>
      </c>
      <c r="H227" s="51" t="s">
        <v>76</v>
      </c>
      <c r="I227" s="145">
        <v>4</v>
      </c>
      <c r="J227" s="213">
        <v>1104</v>
      </c>
      <c r="K227" s="146">
        <f t="shared" si="433"/>
        <v>104</v>
      </c>
      <c r="L227" s="147">
        <f t="shared" si="434"/>
        <v>1.0571294117647059</v>
      </c>
      <c r="M227" s="147">
        <f t="shared" si="435"/>
        <v>0</v>
      </c>
      <c r="N227" s="147">
        <f t="shared" si="436"/>
        <v>0</v>
      </c>
      <c r="O227" s="147">
        <f t="shared" si="437"/>
        <v>0</v>
      </c>
      <c r="P227" s="148">
        <f t="shared" si="324"/>
        <v>0.26428235294117647</v>
      </c>
      <c r="Q227" s="147">
        <f t="shared" si="325"/>
        <v>0</v>
      </c>
      <c r="R227" s="147">
        <f t="shared" si="326"/>
        <v>0</v>
      </c>
      <c r="S227" s="147">
        <f t="shared" si="327"/>
        <v>0</v>
      </c>
      <c r="T227" s="200" t="str">
        <f t="shared" si="438"/>
        <v>B</v>
      </c>
      <c r="U227" s="214">
        <v>1</v>
      </c>
      <c r="V227" s="214">
        <v>1</v>
      </c>
      <c r="W227" s="214">
        <v>1</v>
      </c>
      <c r="X227" s="214">
        <v>1</v>
      </c>
      <c r="Y227" s="142"/>
      <c r="Z227" s="149">
        <f t="shared" si="329"/>
        <v>416</v>
      </c>
      <c r="AA227" s="150">
        <f t="shared" si="330"/>
        <v>1.0571294117647059</v>
      </c>
      <c r="AB227" s="151"/>
      <c r="AE227" s="582">
        <f t="shared" si="331"/>
        <v>0</v>
      </c>
      <c r="AF227" s="582">
        <f t="shared" si="332"/>
        <v>4</v>
      </c>
    </row>
    <row r="228" spans="2:32" ht="18" customHeight="1">
      <c r="B228" s="220" t="s">
        <v>260</v>
      </c>
      <c r="C228" s="221" t="s">
        <v>57</v>
      </c>
      <c r="D228" s="143">
        <v>2</v>
      </c>
      <c r="E228" s="144">
        <v>2107</v>
      </c>
      <c r="F228" s="63" t="s">
        <v>262</v>
      </c>
      <c r="G228" s="63" t="s">
        <v>263</v>
      </c>
      <c r="H228" s="51" t="s">
        <v>76</v>
      </c>
      <c r="I228" s="145">
        <v>3.4</v>
      </c>
      <c r="J228" s="213">
        <v>1104</v>
      </c>
      <c r="K228" s="146">
        <f t="shared" si="433"/>
        <v>104</v>
      </c>
      <c r="L228" s="147">
        <f t="shared" si="434"/>
        <v>0.89855999999999991</v>
      </c>
      <c r="M228" s="147">
        <f t="shared" si="435"/>
        <v>0</v>
      </c>
      <c r="N228" s="147">
        <f t="shared" si="436"/>
        <v>0</v>
      </c>
      <c r="O228" s="147">
        <f t="shared" si="437"/>
        <v>0</v>
      </c>
      <c r="P228" s="148">
        <f t="shared" si="324"/>
        <v>0.26428235294117647</v>
      </c>
      <c r="Q228" s="147">
        <f t="shared" si="325"/>
        <v>0</v>
      </c>
      <c r="R228" s="147">
        <f t="shared" si="326"/>
        <v>0</v>
      </c>
      <c r="S228" s="147">
        <f t="shared" si="327"/>
        <v>0</v>
      </c>
      <c r="T228" s="200" t="str">
        <f t="shared" si="438"/>
        <v>B</v>
      </c>
      <c r="U228" s="214">
        <v>1</v>
      </c>
      <c r="V228" s="214">
        <v>1</v>
      </c>
      <c r="W228" s="214">
        <v>1</v>
      </c>
      <c r="X228" s="214">
        <v>1</v>
      </c>
      <c r="Y228" s="142"/>
      <c r="Z228" s="149">
        <f t="shared" si="329"/>
        <v>353.59999999999997</v>
      </c>
      <c r="AA228" s="150">
        <f t="shared" si="330"/>
        <v>0.89855999999999991</v>
      </c>
      <c r="AB228" s="151"/>
      <c r="AE228" s="582">
        <f t="shared" si="331"/>
        <v>0</v>
      </c>
      <c r="AF228" s="582">
        <f t="shared" si="332"/>
        <v>3.4</v>
      </c>
    </row>
    <row r="229" spans="2:32" ht="18" customHeight="1">
      <c r="B229" s="220" t="s">
        <v>260</v>
      </c>
      <c r="C229" s="221" t="s">
        <v>57</v>
      </c>
      <c r="D229" s="143">
        <v>2</v>
      </c>
      <c r="E229" s="144">
        <v>2108</v>
      </c>
      <c r="F229" s="63" t="s">
        <v>262</v>
      </c>
      <c r="G229" s="63" t="s">
        <v>263</v>
      </c>
      <c r="H229" s="51" t="s">
        <v>76</v>
      </c>
      <c r="I229" s="145">
        <v>3.4</v>
      </c>
      <c r="J229" s="213">
        <v>1104</v>
      </c>
      <c r="K229" s="146">
        <f t="shared" si="433"/>
        <v>104</v>
      </c>
      <c r="L229" s="147">
        <f t="shared" si="434"/>
        <v>0.89855999999999991</v>
      </c>
      <c r="M229" s="147">
        <f t="shared" si="435"/>
        <v>0</v>
      </c>
      <c r="N229" s="147">
        <f t="shared" si="436"/>
        <v>0</v>
      </c>
      <c r="O229" s="147">
        <f t="shared" si="437"/>
        <v>0</v>
      </c>
      <c r="P229" s="148">
        <f t="shared" si="324"/>
        <v>0.26428235294117647</v>
      </c>
      <c r="Q229" s="147">
        <f t="shared" si="325"/>
        <v>0</v>
      </c>
      <c r="R229" s="147">
        <f t="shared" si="326"/>
        <v>0</v>
      </c>
      <c r="S229" s="147">
        <f t="shared" si="327"/>
        <v>0</v>
      </c>
      <c r="T229" s="200" t="str">
        <f t="shared" si="438"/>
        <v>B</v>
      </c>
      <c r="U229" s="214">
        <v>1</v>
      </c>
      <c r="V229" s="214">
        <v>1</v>
      </c>
      <c r="W229" s="214">
        <v>1</v>
      </c>
      <c r="X229" s="214">
        <v>1</v>
      </c>
      <c r="Y229" s="142"/>
      <c r="Z229" s="149">
        <f t="shared" si="329"/>
        <v>353.59999999999997</v>
      </c>
      <c r="AA229" s="150">
        <f t="shared" si="330"/>
        <v>0.89855999999999991</v>
      </c>
      <c r="AB229" s="151"/>
      <c r="AE229" s="582">
        <f t="shared" si="331"/>
        <v>0</v>
      </c>
      <c r="AF229" s="582">
        <f t="shared" si="332"/>
        <v>3.4</v>
      </c>
    </row>
    <row r="230" spans="2:32" ht="18" customHeight="1">
      <c r="B230" s="220" t="s">
        <v>260</v>
      </c>
      <c r="C230" s="221" t="s">
        <v>57</v>
      </c>
      <c r="D230" s="143">
        <v>2</v>
      </c>
      <c r="E230" s="144">
        <v>2109</v>
      </c>
      <c r="F230" s="63" t="s">
        <v>262</v>
      </c>
      <c r="G230" s="63" t="s">
        <v>263</v>
      </c>
      <c r="H230" s="51" t="s">
        <v>76</v>
      </c>
      <c r="I230" s="145">
        <v>7.2</v>
      </c>
      <c r="J230" s="213">
        <v>1104</v>
      </c>
      <c r="K230" s="146">
        <f t="shared" si="433"/>
        <v>104</v>
      </c>
      <c r="L230" s="147">
        <f t="shared" si="434"/>
        <v>1.9028329411764706</v>
      </c>
      <c r="M230" s="147">
        <f t="shared" si="435"/>
        <v>0</v>
      </c>
      <c r="N230" s="147">
        <f t="shared" si="436"/>
        <v>0</v>
      </c>
      <c r="O230" s="147">
        <f t="shared" si="437"/>
        <v>0</v>
      </c>
      <c r="P230" s="148">
        <f t="shared" si="324"/>
        <v>0.26428235294117647</v>
      </c>
      <c r="Q230" s="147">
        <f t="shared" si="325"/>
        <v>0</v>
      </c>
      <c r="R230" s="147">
        <f t="shared" si="326"/>
        <v>0</v>
      </c>
      <c r="S230" s="147">
        <f t="shared" si="327"/>
        <v>0</v>
      </c>
      <c r="T230" s="200" t="str">
        <f t="shared" si="438"/>
        <v>B</v>
      </c>
      <c r="U230" s="214">
        <v>1</v>
      </c>
      <c r="V230" s="214">
        <v>1</v>
      </c>
      <c r="W230" s="214">
        <v>1</v>
      </c>
      <c r="X230" s="214">
        <v>1</v>
      </c>
      <c r="Y230" s="142"/>
      <c r="Z230" s="149">
        <f t="shared" si="329"/>
        <v>748.80000000000007</v>
      </c>
      <c r="AA230" s="150">
        <f t="shared" si="330"/>
        <v>1.9028329411764706</v>
      </c>
      <c r="AB230" s="151"/>
      <c r="AE230" s="582">
        <f t="shared" si="331"/>
        <v>0</v>
      </c>
      <c r="AF230" s="582">
        <f t="shared" si="332"/>
        <v>7.2</v>
      </c>
    </row>
    <row r="231" spans="2:32" ht="18" customHeight="1">
      <c r="B231" s="220" t="s">
        <v>260</v>
      </c>
      <c r="C231" s="221" t="s">
        <v>57</v>
      </c>
      <c r="D231" s="143">
        <v>2</v>
      </c>
      <c r="E231" s="144">
        <v>2110</v>
      </c>
      <c r="F231" s="63" t="s">
        <v>262</v>
      </c>
      <c r="G231" s="63" t="s">
        <v>263</v>
      </c>
      <c r="H231" s="51" t="s">
        <v>76</v>
      </c>
      <c r="I231" s="145">
        <v>7.2</v>
      </c>
      <c r="J231" s="213">
        <v>1104</v>
      </c>
      <c r="K231" s="146">
        <f t="shared" si="433"/>
        <v>104</v>
      </c>
      <c r="L231" s="147">
        <f t="shared" si="434"/>
        <v>1.9028329411764706</v>
      </c>
      <c r="M231" s="147">
        <f t="shared" si="435"/>
        <v>0</v>
      </c>
      <c r="N231" s="147">
        <f t="shared" si="436"/>
        <v>0</v>
      </c>
      <c r="O231" s="147">
        <f t="shared" si="437"/>
        <v>0</v>
      </c>
      <c r="P231" s="148">
        <f t="shared" si="324"/>
        <v>0.26428235294117647</v>
      </c>
      <c r="Q231" s="147">
        <f t="shared" si="325"/>
        <v>0</v>
      </c>
      <c r="R231" s="147">
        <f t="shared" si="326"/>
        <v>0</v>
      </c>
      <c r="S231" s="147">
        <f t="shared" si="327"/>
        <v>0</v>
      </c>
      <c r="T231" s="200" t="str">
        <f t="shared" si="438"/>
        <v>B</v>
      </c>
      <c r="U231" s="214">
        <v>1</v>
      </c>
      <c r="V231" s="214">
        <v>1</v>
      </c>
      <c r="W231" s="214">
        <v>1</v>
      </c>
      <c r="X231" s="214">
        <v>1</v>
      </c>
      <c r="Y231" s="142"/>
      <c r="Z231" s="149">
        <f t="shared" si="329"/>
        <v>748.80000000000007</v>
      </c>
      <c r="AA231" s="150">
        <f t="shared" si="330"/>
        <v>1.9028329411764706</v>
      </c>
      <c r="AB231" s="151"/>
      <c r="AE231" s="582">
        <f t="shared" si="331"/>
        <v>0</v>
      </c>
      <c r="AF231" s="582">
        <f t="shared" si="332"/>
        <v>7.2</v>
      </c>
    </row>
    <row r="232" spans="2:32" ht="18" customHeight="1">
      <c r="B232" s="220" t="s">
        <v>260</v>
      </c>
      <c r="C232" s="221" t="s">
        <v>57</v>
      </c>
      <c r="D232" s="143">
        <v>1</v>
      </c>
      <c r="E232" s="144">
        <v>2111</v>
      </c>
      <c r="F232" s="63" t="s">
        <v>383</v>
      </c>
      <c r="G232" s="63" t="s">
        <v>263</v>
      </c>
      <c r="H232" s="51" t="s">
        <v>76</v>
      </c>
      <c r="I232" s="145">
        <v>105</v>
      </c>
      <c r="J232" s="213">
        <v>1104</v>
      </c>
      <c r="K232" s="146">
        <f t="shared" si="433"/>
        <v>104</v>
      </c>
      <c r="L232" s="147">
        <f t="shared" si="434"/>
        <v>27.74964705882353</v>
      </c>
      <c r="M232" s="147">
        <f t="shared" si="435"/>
        <v>0</v>
      </c>
      <c r="N232" s="147">
        <f t="shared" si="436"/>
        <v>0</v>
      </c>
      <c r="O232" s="147">
        <f t="shared" si="437"/>
        <v>0</v>
      </c>
      <c r="P232" s="148">
        <f t="shared" si="324"/>
        <v>0.26428235294117647</v>
      </c>
      <c r="Q232" s="147">
        <f t="shared" si="325"/>
        <v>0</v>
      </c>
      <c r="R232" s="147">
        <f t="shared" si="326"/>
        <v>0</v>
      </c>
      <c r="S232" s="147">
        <f t="shared" si="327"/>
        <v>0</v>
      </c>
      <c r="T232" s="200" t="str">
        <f t="shared" si="438"/>
        <v>B</v>
      </c>
      <c r="U232" s="214">
        <v>1</v>
      </c>
      <c r="V232" s="214">
        <v>1</v>
      </c>
      <c r="W232" s="214">
        <v>1</v>
      </c>
      <c r="X232" s="214">
        <v>1</v>
      </c>
      <c r="Y232" s="142"/>
      <c r="Z232" s="149">
        <f t="shared" si="329"/>
        <v>10920</v>
      </c>
      <c r="AA232" s="150">
        <f t="shared" si="330"/>
        <v>27.74964705882353</v>
      </c>
      <c r="AB232" s="151"/>
      <c r="AE232" s="582">
        <f t="shared" si="331"/>
        <v>0</v>
      </c>
      <c r="AF232" s="582">
        <f t="shared" si="332"/>
        <v>105</v>
      </c>
    </row>
    <row r="233" spans="2:32" ht="18" customHeight="1">
      <c r="B233" s="142" t="s">
        <v>260</v>
      </c>
      <c r="C233" s="221" t="s">
        <v>181</v>
      </c>
      <c r="D233" s="222">
        <v>0</v>
      </c>
      <c r="E233" s="144">
        <v>101</v>
      </c>
      <c r="F233" s="63" t="s">
        <v>450</v>
      </c>
      <c r="G233" s="63" t="s">
        <v>271</v>
      </c>
      <c r="H233" s="51" t="s">
        <v>272</v>
      </c>
      <c r="I233" s="145">
        <v>12.07</v>
      </c>
      <c r="J233" s="213">
        <v>3255</v>
      </c>
      <c r="K233" s="146">
        <f t="shared" si="323"/>
        <v>255</v>
      </c>
      <c r="L233" s="147">
        <f t="shared" si="1"/>
        <v>4.5141800000000005</v>
      </c>
      <c r="M233" s="147">
        <f t="shared" si="2"/>
        <v>0</v>
      </c>
      <c r="N233" s="147">
        <f t="shared" si="3"/>
        <v>0</v>
      </c>
      <c r="O233" s="147">
        <f t="shared" si="4"/>
        <v>0</v>
      </c>
      <c r="P233" s="148">
        <f t="shared" si="324"/>
        <v>0.374</v>
      </c>
      <c r="Q233" s="147">
        <f t="shared" si="325"/>
        <v>0</v>
      </c>
      <c r="R233" s="147">
        <f t="shared" si="326"/>
        <v>0</v>
      </c>
      <c r="S233" s="147">
        <f t="shared" si="327"/>
        <v>0</v>
      </c>
      <c r="T233" s="200" t="str">
        <f t="shared" si="328"/>
        <v>V</v>
      </c>
      <c r="U233" s="214">
        <v>1</v>
      </c>
      <c r="V233" s="214">
        <v>1</v>
      </c>
      <c r="W233" s="214">
        <v>1</v>
      </c>
      <c r="X233" s="214">
        <v>1</v>
      </c>
      <c r="Y233" s="142"/>
      <c r="Z233" s="149">
        <f t="shared" si="329"/>
        <v>3077.85</v>
      </c>
      <c r="AA233" s="150">
        <f t="shared" si="330"/>
        <v>4.5141800000000005</v>
      </c>
      <c r="AB233" s="151"/>
      <c r="AE233" s="582">
        <f t="shared" si="331"/>
        <v>0</v>
      </c>
      <c r="AF233" s="582">
        <f t="shared" si="332"/>
        <v>0</v>
      </c>
    </row>
    <row r="234" spans="2:32" ht="18" customHeight="1">
      <c r="B234" s="142" t="s">
        <v>260</v>
      </c>
      <c r="C234" s="221" t="s">
        <v>181</v>
      </c>
      <c r="D234" s="222">
        <v>0</v>
      </c>
      <c r="E234" s="144">
        <v>102</v>
      </c>
      <c r="F234" s="63" t="s">
        <v>353</v>
      </c>
      <c r="G234" s="63" t="s">
        <v>271</v>
      </c>
      <c r="H234" s="51" t="s">
        <v>272</v>
      </c>
      <c r="I234" s="145">
        <v>4.95</v>
      </c>
      <c r="J234" s="213">
        <v>3255</v>
      </c>
      <c r="K234" s="146">
        <f t="shared" ref="K234" si="439">SUM(IF(J234="",0,VLOOKUP(J234,Kengetal,2)))</f>
        <v>255</v>
      </c>
      <c r="L234" s="147">
        <f t="shared" ref="L234" si="440">P234*I234*U234</f>
        <v>1.8513000000000002</v>
      </c>
      <c r="M234" s="147">
        <f t="shared" ref="M234" si="441">Q234*I234*V234</f>
        <v>0</v>
      </c>
      <c r="N234" s="147">
        <f t="shared" ref="N234" si="442">R234*I234*W234</f>
        <v>0</v>
      </c>
      <c r="O234" s="147">
        <f t="shared" ref="O234" si="443">S234*I234*X234</f>
        <v>0</v>
      </c>
      <c r="P234" s="148">
        <f t="shared" si="324"/>
        <v>0.374</v>
      </c>
      <c r="Q234" s="147">
        <f t="shared" si="325"/>
        <v>0</v>
      </c>
      <c r="R234" s="147">
        <f t="shared" si="326"/>
        <v>0</v>
      </c>
      <c r="S234" s="147">
        <f t="shared" si="327"/>
        <v>0</v>
      </c>
      <c r="T234" s="200" t="str">
        <f t="shared" ref="T234" si="444">IF(J234="","",VLOOKUP(J234,Kengetal,13,FALSE))</f>
        <v>V</v>
      </c>
      <c r="U234" s="214">
        <v>1</v>
      </c>
      <c r="V234" s="214">
        <v>1</v>
      </c>
      <c r="W234" s="214">
        <v>1</v>
      </c>
      <c r="X234" s="214">
        <v>1</v>
      </c>
      <c r="Y234" s="142"/>
      <c r="Z234" s="149">
        <f t="shared" si="329"/>
        <v>1262.25</v>
      </c>
      <c r="AA234" s="150">
        <f t="shared" si="330"/>
        <v>1.8513000000000002</v>
      </c>
      <c r="AB234" s="151"/>
      <c r="AE234" s="582">
        <f t="shared" si="331"/>
        <v>0</v>
      </c>
      <c r="AF234" s="582">
        <f t="shared" si="332"/>
        <v>0</v>
      </c>
    </row>
    <row r="235" spans="2:32" ht="18" customHeight="1">
      <c r="B235" s="142" t="s">
        <v>260</v>
      </c>
      <c r="C235" s="221" t="s">
        <v>181</v>
      </c>
      <c r="D235" s="222">
        <v>0</v>
      </c>
      <c r="E235" s="144">
        <v>103</v>
      </c>
      <c r="F235" s="63" t="s">
        <v>363</v>
      </c>
      <c r="G235" s="63" t="s">
        <v>266</v>
      </c>
      <c r="H235" s="51" t="s">
        <v>272</v>
      </c>
      <c r="I235" s="145">
        <v>2.34</v>
      </c>
      <c r="J235" s="213">
        <v>2255</v>
      </c>
      <c r="K235" s="146">
        <f t="shared" si="323"/>
        <v>255</v>
      </c>
      <c r="L235" s="147">
        <f t="shared" si="1"/>
        <v>7.5067199999999996</v>
      </c>
      <c r="M235" s="147">
        <f t="shared" si="2"/>
        <v>0</v>
      </c>
      <c r="N235" s="147">
        <f t="shared" si="3"/>
        <v>0</v>
      </c>
      <c r="O235" s="147">
        <f t="shared" si="4"/>
        <v>0</v>
      </c>
      <c r="P235" s="148">
        <f t="shared" si="324"/>
        <v>3.2080000000000002</v>
      </c>
      <c r="Q235" s="147">
        <f t="shared" si="325"/>
        <v>0</v>
      </c>
      <c r="R235" s="147">
        <f t="shared" si="326"/>
        <v>0</v>
      </c>
      <c r="S235" s="147">
        <f t="shared" si="327"/>
        <v>0</v>
      </c>
      <c r="T235" s="200" t="str">
        <f t="shared" si="328"/>
        <v>S</v>
      </c>
      <c r="U235" s="214">
        <v>1</v>
      </c>
      <c r="V235" s="214">
        <v>1</v>
      </c>
      <c r="W235" s="214">
        <v>1</v>
      </c>
      <c r="X235" s="214">
        <v>1</v>
      </c>
      <c r="Y235" s="142"/>
      <c r="Z235" s="149">
        <f t="shared" si="329"/>
        <v>596.69999999999993</v>
      </c>
      <c r="AA235" s="150">
        <f t="shared" si="330"/>
        <v>7.5067199999999996</v>
      </c>
      <c r="AB235" s="151"/>
      <c r="AE235" s="582">
        <f t="shared" si="331"/>
        <v>0</v>
      </c>
      <c r="AF235" s="582">
        <f t="shared" si="332"/>
        <v>0</v>
      </c>
    </row>
    <row r="236" spans="2:32" ht="18" customHeight="1">
      <c r="B236" s="142" t="s">
        <v>260</v>
      </c>
      <c r="C236" s="221" t="s">
        <v>181</v>
      </c>
      <c r="D236" s="222">
        <v>0</v>
      </c>
      <c r="E236" s="144">
        <v>104</v>
      </c>
      <c r="F236" s="63" t="s">
        <v>309</v>
      </c>
      <c r="G236" s="63" t="s">
        <v>271</v>
      </c>
      <c r="H236" s="51" t="s">
        <v>272</v>
      </c>
      <c r="I236" s="145">
        <v>8.5399999999999991</v>
      </c>
      <c r="J236" s="213">
        <v>3255</v>
      </c>
      <c r="K236" s="146">
        <f t="shared" si="323"/>
        <v>255</v>
      </c>
      <c r="L236" s="147">
        <f t="shared" si="1"/>
        <v>3.1939599999999997</v>
      </c>
      <c r="M236" s="147">
        <f t="shared" si="2"/>
        <v>0</v>
      </c>
      <c r="N236" s="147">
        <f t="shared" si="3"/>
        <v>0</v>
      </c>
      <c r="O236" s="147">
        <f t="shared" si="4"/>
        <v>0</v>
      </c>
      <c r="P236" s="148">
        <f t="shared" si="324"/>
        <v>0.374</v>
      </c>
      <c r="Q236" s="147">
        <f t="shared" si="325"/>
        <v>0</v>
      </c>
      <c r="R236" s="147">
        <f t="shared" si="326"/>
        <v>0</v>
      </c>
      <c r="S236" s="147">
        <f t="shared" si="327"/>
        <v>0</v>
      </c>
      <c r="T236" s="200" t="str">
        <f t="shared" si="328"/>
        <v>V</v>
      </c>
      <c r="U236" s="214">
        <v>1</v>
      </c>
      <c r="V236" s="214">
        <v>1</v>
      </c>
      <c r="W236" s="214">
        <v>1</v>
      </c>
      <c r="X236" s="214">
        <v>1</v>
      </c>
      <c r="Y236" s="142"/>
      <c r="Z236" s="149">
        <f t="shared" si="329"/>
        <v>2177.6999999999998</v>
      </c>
      <c r="AA236" s="150">
        <f t="shared" si="330"/>
        <v>3.1939599999999997</v>
      </c>
      <c r="AB236" s="151"/>
      <c r="AE236" s="582">
        <f t="shared" si="331"/>
        <v>0</v>
      </c>
      <c r="AF236" s="582">
        <f t="shared" si="332"/>
        <v>0</v>
      </c>
    </row>
    <row r="237" spans="2:32" ht="18" customHeight="1">
      <c r="B237" s="142" t="s">
        <v>260</v>
      </c>
      <c r="C237" s="221" t="s">
        <v>181</v>
      </c>
      <c r="D237" s="222">
        <v>0</v>
      </c>
      <c r="E237" s="144">
        <v>105</v>
      </c>
      <c r="F237" s="63" t="s">
        <v>451</v>
      </c>
      <c r="G237" s="63" t="s">
        <v>266</v>
      </c>
      <c r="H237" s="51" t="s">
        <v>272</v>
      </c>
      <c r="I237" s="145">
        <v>1.65</v>
      </c>
      <c r="J237" s="213">
        <v>2255</v>
      </c>
      <c r="K237" s="146">
        <f t="shared" si="323"/>
        <v>255</v>
      </c>
      <c r="L237" s="147">
        <f t="shared" si="1"/>
        <v>5.2931999999999997</v>
      </c>
      <c r="M237" s="147">
        <f t="shared" si="2"/>
        <v>0</v>
      </c>
      <c r="N237" s="147">
        <f t="shared" si="3"/>
        <v>0</v>
      </c>
      <c r="O237" s="147">
        <f t="shared" si="4"/>
        <v>0</v>
      </c>
      <c r="P237" s="148">
        <f t="shared" si="324"/>
        <v>3.2080000000000002</v>
      </c>
      <c r="Q237" s="147">
        <f t="shared" si="325"/>
        <v>0</v>
      </c>
      <c r="R237" s="147">
        <f t="shared" si="326"/>
        <v>0</v>
      </c>
      <c r="S237" s="147">
        <f t="shared" si="327"/>
        <v>0</v>
      </c>
      <c r="T237" s="200" t="str">
        <f t="shared" si="328"/>
        <v>S</v>
      </c>
      <c r="U237" s="214">
        <v>1</v>
      </c>
      <c r="V237" s="214">
        <v>1</v>
      </c>
      <c r="W237" s="214">
        <v>1</v>
      </c>
      <c r="X237" s="214">
        <v>1</v>
      </c>
      <c r="Y237" s="142"/>
      <c r="Z237" s="149">
        <f t="shared" si="329"/>
        <v>420.75</v>
      </c>
      <c r="AA237" s="150">
        <f t="shared" si="330"/>
        <v>5.2931999999999997</v>
      </c>
      <c r="AB237" s="151"/>
      <c r="AE237" s="582">
        <f t="shared" si="331"/>
        <v>0</v>
      </c>
      <c r="AF237" s="582">
        <f t="shared" si="332"/>
        <v>0</v>
      </c>
    </row>
    <row r="238" spans="2:32" ht="18" customHeight="1">
      <c r="B238" s="142" t="s">
        <v>260</v>
      </c>
      <c r="C238" s="221" t="s">
        <v>181</v>
      </c>
      <c r="D238" s="222">
        <v>0</v>
      </c>
      <c r="E238" s="144">
        <v>106</v>
      </c>
      <c r="F238" s="63" t="s">
        <v>274</v>
      </c>
      <c r="G238" s="63" t="s">
        <v>263</v>
      </c>
      <c r="H238" s="51" t="s">
        <v>76</v>
      </c>
      <c r="I238" s="145">
        <v>14.3</v>
      </c>
      <c r="J238" s="213">
        <v>15255</v>
      </c>
      <c r="K238" s="146">
        <f t="shared" si="323"/>
        <v>255</v>
      </c>
      <c r="L238" s="147">
        <f t="shared" si="1"/>
        <v>7.9365000000000014</v>
      </c>
      <c r="M238" s="147">
        <f t="shared" si="2"/>
        <v>0</v>
      </c>
      <c r="N238" s="147">
        <f t="shared" si="3"/>
        <v>0</v>
      </c>
      <c r="O238" s="147">
        <f t="shared" si="4"/>
        <v>0</v>
      </c>
      <c r="P238" s="148">
        <f t="shared" si="324"/>
        <v>0.55500000000000005</v>
      </c>
      <c r="Q238" s="147">
        <f t="shared" si="325"/>
        <v>0</v>
      </c>
      <c r="R238" s="147">
        <f t="shared" si="326"/>
        <v>0</v>
      </c>
      <c r="S238" s="147">
        <f t="shared" si="327"/>
        <v>0</v>
      </c>
      <c r="T238" s="200" t="str">
        <f t="shared" si="328"/>
        <v>B</v>
      </c>
      <c r="U238" s="214">
        <v>1</v>
      </c>
      <c r="V238" s="214">
        <v>1</v>
      </c>
      <c r="W238" s="214">
        <v>1</v>
      </c>
      <c r="X238" s="214">
        <v>1</v>
      </c>
      <c r="Y238" s="142"/>
      <c r="Z238" s="149">
        <f t="shared" si="329"/>
        <v>3646.5</v>
      </c>
      <c r="AA238" s="150">
        <f t="shared" si="330"/>
        <v>7.9365000000000014</v>
      </c>
      <c r="AB238" s="151"/>
      <c r="AE238" s="582">
        <f t="shared" si="331"/>
        <v>0</v>
      </c>
      <c r="AF238" s="582">
        <f t="shared" si="332"/>
        <v>14.3</v>
      </c>
    </row>
    <row r="239" spans="2:32" ht="18" customHeight="1">
      <c r="B239" s="142" t="s">
        <v>260</v>
      </c>
      <c r="C239" s="221" t="s">
        <v>181</v>
      </c>
      <c r="D239" s="222">
        <v>0</v>
      </c>
      <c r="E239" s="144">
        <v>107</v>
      </c>
      <c r="F239" s="63" t="s">
        <v>262</v>
      </c>
      <c r="G239" s="63" t="s">
        <v>263</v>
      </c>
      <c r="H239" s="51" t="s">
        <v>452</v>
      </c>
      <c r="I239" s="145">
        <v>29.57</v>
      </c>
      <c r="J239" s="213">
        <v>1255</v>
      </c>
      <c r="K239" s="146">
        <f t="shared" si="323"/>
        <v>255</v>
      </c>
      <c r="L239" s="147">
        <f t="shared" si="1"/>
        <v>15.9678</v>
      </c>
      <c r="M239" s="147">
        <f t="shared" si="2"/>
        <v>0</v>
      </c>
      <c r="N239" s="147">
        <f t="shared" si="3"/>
        <v>0</v>
      </c>
      <c r="O239" s="147">
        <f t="shared" si="4"/>
        <v>0</v>
      </c>
      <c r="P239" s="148">
        <f t="shared" si="324"/>
        <v>0.54</v>
      </c>
      <c r="Q239" s="147">
        <f t="shared" si="325"/>
        <v>0</v>
      </c>
      <c r="R239" s="147">
        <f t="shared" si="326"/>
        <v>0</v>
      </c>
      <c r="S239" s="147">
        <f t="shared" si="327"/>
        <v>0</v>
      </c>
      <c r="T239" s="200" t="str">
        <f t="shared" si="328"/>
        <v>B</v>
      </c>
      <c r="U239" s="214">
        <v>1</v>
      </c>
      <c r="V239" s="214">
        <v>1</v>
      </c>
      <c r="W239" s="214">
        <v>1</v>
      </c>
      <c r="X239" s="214">
        <v>1</v>
      </c>
      <c r="Y239" s="142"/>
      <c r="Z239" s="149">
        <f t="shared" si="329"/>
        <v>7540.35</v>
      </c>
      <c r="AA239" s="150">
        <f t="shared" si="330"/>
        <v>15.9678</v>
      </c>
      <c r="AB239" s="151"/>
      <c r="AE239" s="582">
        <f t="shared" si="331"/>
        <v>0</v>
      </c>
      <c r="AF239" s="582">
        <f t="shared" si="332"/>
        <v>29.57</v>
      </c>
    </row>
    <row r="240" spans="2:32" ht="18" customHeight="1">
      <c r="B240" s="142" t="s">
        <v>260</v>
      </c>
      <c r="C240" s="221" t="s">
        <v>181</v>
      </c>
      <c r="D240" s="143">
        <v>1</v>
      </c>
      <c r="E240" s="144">
        <v>201</v>
      </c>
      <c r="F240" s="63" t="s">
        <v>281</v>
      </c>
      <c r="G240" s="63" t="s">
        <v>271</v>
      </c>
      <c r="H240" s="51" t="s">
        <v>296</v>
      </c>
      <c r="I240" s="145">
        <v>4</v>
      </c>
      <c r="J240" s="213">
        <v>5255</v>
      </c>
      <c r="K240" s="146">
        <f t="shared" si="323"/>
        <v>255</v>
      </c>
      <c r="L240" s="147">
        <f t="shared" si="1"/>
        <v>3.1320000000000001</v>
      </c>
      <c r="M240" s="147">
        <f t="shared" si="2"/>
        <v>0</v>
      </c>
      <c r="N240" s="147">
        <f t="shared" si="3"/>
        <v>0</v>
      </c>
      <c r="O240" s="147">
        <f t="shared" si="4"/>
        <v>0</v>
      </c>
      <c r="P240" s="148">
        <f t="shared" si="324"/>
        <v>0.78300000000000003</v>
      </c>
      <c r="Q240" s="147">
        <f t="shared" si="325"/>
        <v>0</v>
      </c>
      <c r="R240" s="147">
        <f t="shared" si="326"/>
        <v>0</v>
      </c>
      <c r="S240" s="147">
        <f t="shared" si="327"/>
        <v>0</v>
      </c>
      <c r="T240" s="200" t="str">
        <f t="shared" si="328"/>
        <v>V</v>
      </c>
      <c r="U240" s="214">
        <v>1</v>
      </c>
      <c r="V240" s="214">
        <v>1</v>
      </c>
      <c r="W240" s="214">
        <v>1</v>
      </c>
      <c r="X240" s="214">
        <v>1</v>
      </c>
      <c r="Y240" s="142"/>
      <c r="Z240" s="149">
        <f t="shared" si="329"/>
        <v>1020</v>
      </c>
      <c r="AA240" s="150">
        <f t="shared" si="330"/>
        <v>3.1320000000000001</v>
      </c>
      <c r="AB240" s="151"/>
      <c r="AE240" s="582">
        <f t="shared" si="331"/>
        <v>0</v>
      </c>
      <c r="AF240" s="582">
        <f t="shared" si="332"/>
        <v>0</v>
      </c>
    </row>
    <row r="241" spans="2:32" ht="18" customHeight="1">
      <c r="B241" s="142" t="s">
        <v>260</v>
      </c>
      <c r="C241" s="221" t="s">
        <v>181</v>
      </c>
      <c r="D241" s="143">
        <v>1</v>
      </c>
      <c r="E241" s="144">
        <v>202</v>
      </c>
      <c r="F241" s="63" t="s">
        <v>453</v>
      </c>
      <c r="G241" s="63" t="s">
        <v>263</v>
      </c>
      <c r="H241" s="51" t="s">
        <v>76</v>
      </c>
      <c r="I241" s="145">
        <v>28.8</v>
      </c>
      <c r="J241" s="213">
        <v>1255</v>
      </c>
      <c r="K241" s="146">
        <f t="shared" si="323"/>
        <v>255</v>
      </c>
      <c r="L241" s="147">
        <f t="shared" si="1"/>
        <v>15.552000000000001</v>
      </c>
      <c r="M241" s="147">
        <f t="shared" si="2"/>
        <v>0</v>
      </c>
      <c r="N241" s="147">
        <f t="shared" si="3"/>
        <v>0</v>
      </c>
      <c r="O241" s="147">
        <f t="shared" si="4"/>
        <v>0</v>
      </c>
      <c r="P241" s="148">
        <f t="shared" si="324"/>
        <v>0.54</v>
      </c>
      <c r="Q241" s="147">
        <f t="shared" si="325"/>
        <v>0</v>
      </c>
      <c r="R241" s="147">
        <f t="shared" si="326"/>
        <v>0</v>
      </c>
      <c r="S241" s="147">
        <f t="shared" si="327"/>
        <v>0</v>
      </c>
      <c r="T241" s="200" t="str">
        <f t="shared" si="328"/>
        <v>B</v>
      </c>
      <c r="U241" s="214">
        <v>1</v>
      </c>
      <c r="V241" s="214">
        <v>1</v>
      </c>
      <c r="W241" s="214">
        <v>1</v>
      </c>
      <c r="X241" s="214">
        <v>1</v>
      </c>
      <c r="Y241" s="142"/>
      <c r="Z241" s="149">
        <f t="shared" si="329"/>
        <v>7344</v>
      </c>
      <c r="AA241" s="150">
        <f t="shared" si="330"/>
        <v>15.552000000000001</v>
      </c>
      <c r="AB241" s="151"/>
      <c r="AE241" s="582">
        <f t="shared" si="331"/>
        <v>0</v>
      </c>
      <c r="AF241" s="582">
        <f t="shared" si="332"/>
        <v>28.8</v>
      </c>
    </row>
    <row r="242" spans="2:32" ht="18" customHeight="1">
      <c r="B242" s="142" t="s">
        <v>260</v>
      </c>
      <c r="C242" s="221" t="s">
        <v>181</v>
      </c>
      <c r="D242" s="143">
        <v>1</v>
      </c>
      <c r="E242" s="144">
        <v>203</v>
      </c>
      <c r="F242" s="63" t="s">
        <v>274</v>
      </c>
      <c r="G242" s="63" t="s">
        <v>263</v>
      </c>
      <c r="H242" s="51" t="s">
        <v>76</v>
      </c>
      <c r="I242" s="145">
        <v>15.45</v>
      </c>
      <c r="J242" s="213">
        <v>15255</v>
      </c>
      <c r="K242" s="146">
        <f t="shared" si="323"/>
        <v>255</v>
      </c>
      <c r="L242" s="147">
        <f t="shared" si="1"/>
        <v>8.5747499999999999</v>
      </c>
      <c r="M242" s="147">
        <f t="shared" si="2"/>
        <v>0</v>
      </c>
      <c r="N242" s="147">
        <f t="shared" si="3"/>
        <v>0</v>
      </c>
      <c r="O242" s="147">
        <f t="shared" si="4"/>
        <v>0</v>
      </c>
      <c r="P242" s="148">
        <f t="shared" si="324"/>
        <v>0.55500000000000005</v>
      </c>
      <c r="Q242" s="147">
        <f t="shared" si="325"/>
        <v>0</v>
      </c>
      <c r="R242" s="147">
        <f t="shared" si="326"/>
        <v>0</v>
      </c>
      <c r="S242" s="147">
        <f t="shared" si="327"/>
        <v>0</v>
      </c>
      <c r="T242" s="200" t="str">
        <f t="shared" si="328"/>
        <v>B</v>
      </c>
      <c r="U242" s="214">
        <v>1</v>
      </c>
      <c r="V242" s="214">
        <v>1</v>
      </c>
      <c r="W242" s="214">
        <v>1</v>
      </c>
      <c r="X242" s="214">
        <v>1</v>
      </c>
      <c r="Y242" s="142"/>
      <c r="Z242" s="149">
        <f t="shared" si="329"/>
        <v>3939.75</v>
      </c>
      <c r="AA242" s="150">
        <f t="shared" si="330"/>
        <v>8.5747499999999999</v>
      </c>
      <c r="AB242" s="151"/>
      <c r="AE242" s="582">
        <f t="shared" si="331"/>
        <v>0</v>
      </c>
      <c r="AF242" s="582">
        <f t="shared" si="332"/>
        <v>15.45</v>
      </c>
    </row>
    <row r="243" spans="2:32" ht="18" customHeight="1">
      <c r="B243" s="142" t="s">
        <v>260</v>
      </c>
      <c r="C243" s="221" t="s">
        <v>181</v>
      </c>
      <c r="D243" s="143">
        <v>1</v>
      </c>
      <c r="E243" s="144">
        <v>204</v>
      </c>
      <c r="F243" s="63" t="s">
        <v>274</v>
      </c>
      <c r="G243" s="63" t="s">
        <v>263</v>
      </c>
      <c r="H243" s="51" t="s">
        <v>76</v>
      </c>
      <c r="I243" s="145">
        <v>15.7</v>
      </c>
      <c r="J243" s="213">
        <v>15255</v>
      </c>
      <c r="K243" s="146">
        <f t="shared" si="323"/>
        <v>255</v>
      </c>
      <c r="L243" s="147">
        <f t="shared" si="1"/>
        <v>8.7134999999999998</v>
      </c>
      <c r="M243" s="147">
        <f t="shared" si="2"/>
        <v>0</v>
      </c>
      <c r="N243" s="147">
        <f t="shared" si="3"/>
        <v>0</v>
      </c>
      <c r="O243" s="147">
        <f t="shared" si="4"/>
        <v>0</v>
      </c>
      <c r="P243" s="148">
        <f t="shared" si="324"/>
        <v>0.55500000000000005</v>
      </c>
      <c r="Q243" s="147">
        <f t="shared" si="325"/>
        <v>0</v>
      </c>
      <c r="R243" s="147">
        <f t="shared" si="326"/>
        <v>0</v>
      </c>
      <c r="S243" s="147">
        <f t="shared" si="327"/>
        <v>0</v>
      </c>
      <c r="T243" s="200" t="str">
        <f t="shared" si="328"/>
        <v>B</v>
      </c>
      <c r="U243" s="214">
        <v>1</v>
      </c>
      <c r="V243" s="214">
        <v>1</v>
      </c>
      <c r="W243" s="214">
        <v>1</v>
      </c>
      <c r="X243" s="214">
        <v>1</v>
      </c>
      <c r="Y243" s="142"/>
      <c r="Z243" s="149">
        <f t="shared" si="329"/>
        <v>4003.5</v>
      </c>
      <c r="AA243" s="150">
        <f t="shared" si="330"/>
        <v>8.7134999999999998</v>
      </c>
      <c r="AB243" s="151"/>
      <c r="AE243" s="582">
        <f t="shared" si="331"/>
        <v>0</v>
      </c>
      <c r="AF243" s="582">
        <f t="shared" si="332"/>
        <v>15.7</v>
      </c>
    </row>
    <row r="244" spans="2:32" ht="18" customHeight="1">
      <c r="B244" s="142" t="s">
        <v>260</v>
      </c>
      <c r="C244" s="221" t="s">
        <v>181</v>
      </c>
      <c r="D244" s="143">
        <v>1</v>
      </c>
      <c r="E244" s="144">
        <v>205</v>
      </c>
      <c r="F244" s="63" t="s">
        <v>453</v>
      </c>
      <c r="G244" s="63" t="s">
        <v>263</v>
      </c>
      <c r="H244" s="51" t="s">
        <v>76</v>
      </c>
      <c r="I244" s="145">
        <v>28.8</v>
      </c>
      <c r="J244" s="213">
        <v>1255</v>
      </c>
      <c r="K244" s="146">
        <f t="shared" si="323"/>
        <v>255</v>
      </c>
      <c r="L244" s="147">
        <f t="shared" si="1"/>
        <v>15.552000000000001</v>
      </c>
      <c r="M244" s="147">
        <f t="shared" si="2"/>
        <v>0</v>
      </c>
      <c r="N244" s="147">
        <f t="shared" si="3"/>
        <v>0</v>
      </c>
      <c r="O244" s="147">
        <f t="shared" si="4"/>
        <v>0</v>
      </c>
      <c r="P244" s="148">
        <f t="shared" si="324"/>
        <v>0.54</v>
      </c>
      <c r="Q244" s="147">
        <f t="shared" si="325"/>
        <v>0</v>
      </c>
      <c r="R244" s="147">
        <f t="shared" si="326"/>
        <v>0</v>
      </c>
      <c r="S244" s="147">
        <f t="shared" si="327"/>
        <v>0</v>
      </c>
      <c r="T244" s="200" t="str">
        <f t="shared" si="328"/>
        <v>B</v>
      </c>
      <c r="U244" s="214">
        <v>1</v>
      </c>
      <c r="V244" s="214">
        <v>1</v>
      </c>
      <c r="W244" s="214">
        <v>1</v>
      </c>
      <c r="X244" s="214">
        <v>1</v>
      </c>
      <c r="Y244" s="142"/>
      <c r="Z244" s="149">
        <f t="shared" si="329"/>
        <v>7344</v>
      </c>
      <c r="AA244" s="150">
        <f t="shared" si="330"/>
        <v>15.552000000000001</v>
      </c>
      <c r="AB244" s="151"/>
      <c r="AE244" s="582">
        <f t="shared" si="331"/>
        <v>0</v>
      </c>
      <c r="AF244" s="582">
        <f t="shared" si="332"/>
        <v>28.8</v>
      </c>
    </row>
    <row r="245" spans="2:32" ht="18" customHeight="1">
      <c r="B245" s="142" t="s">
        <v>454</v>
      </c>
      <c r="C245" s="221" t="s">
        <v>182</v>
      </c>
      <c r="D245" s="222">
        <v>0</v>
      </c>
      <c r="E245" s="144">
        <v>1</v>
      </c>
      <c r="F245" s="63" t="s">
        <v>144</v>
      </c>
      <c r="G245" s="63" t="s">
        <v>271</v>
      </c>
      <c r="H245" s="51" t="s">
        <v>315</v>
      </c>
      <c r="I245" s="145">
        <v>5.3</v>
      </c>
      <c r="J245" s="213">
        <v>8255</v>
      </c>
      <c r="K245" s="146">
        <f t="shared" si="323"/>
        <v>255</v>
      </c>
      <c r="L245" s="147">
        <f t="shared" si="1"/>
        <v>10.6</v>
      </c>
      <c r="M245" s="147">
        <f t="shared" si="2"/>
        <v>0</v>
      </c>
      <c r="N245" s="147">
        <f t="shared" si="3"/>
        <v>0</v>
      </c>
      <c r="O245" s="147">
        <f t="shared" si="4"/>
        <v>0</v>
      </c>
      <c r="P245" s="148">
        <f t="shared" si="324"/>
        <v>2</v>
      </c>
      <c r="Q245" s="147">
        <f t="shared" si="325"/>
        <v>0</v>
      </c>
      <c r="R245" s="147">
        <f t="shared" si="326"/>
        <v>0</v>
      </c>
      <c r="S245" s="147">
        <f t="shared" si="327"/>
        <v>0</v>
      </c>
      <c r="T245" s="200" t="str">
        <f t="shared" si="328"/>
        <v>V</v>
      </c>
      <c r="U245" s="214">
        <v>1</v>
      </c>
      <c r="V245" s="214">
        <v>1</v>
      </c>
      <c r="W245" s="214">
        <v>1</v>
      </c>
      <c r="X245" s="214">
        <v>1</v>
      </c>
      <c r="Y245" s="142"/>
      <c r="Z245" s="149">
        <f t="shared" si="329"/>
        <v>1351.5</v>
      </c>
      <c r="AA245" s="150">
        <f t="shared" si="330"/>
        <v>10.6</v>
      </c>
      <c r="AB245" s="151"/>
      <c r="AE245" s="582">
        <f t="shared" si="331"/>
        <v>0</v>
      </c>
      <c r="AF245" s="582">
        <f t="shared" si="332"/>
        <v>0</v>
      </c>
    </row>
    <row r="246" spans="2:32" ht="18" customHeight="1">
      <c r="B246" s="142" t="s">
        <v>454</v>
      </c>
      <c r="C246" s="221" t="s">
        <v>182</v>
      </c>
      <c r="D246" s="222">
        <v>0</v>
      </c>
      <c r="E246" s="144">
        <v>2</v>
      </c>
      <c r="F246" s="63" t="s">
        <v>353</v>
      </c>
      <c r="G246" s="63" t="s">
        <v>271</v>
      </c>
      <c r="H246" s="51" t="s">
        <v>455</v>
      </c>
      <c r="I246" s="145">
        <v>14.3</v>
      </c>
      <c r="J246" s="213">
        <v>3255</v>
      </c>
      <c r="K246" s="146">
        <f t="shared" si="323"/>
        <v>255</v>
      </c>
      <c r="L246" s="147">
        <f t="shared" si="1"/>
        <v>5.3482000000000003</v>
      </c>
      <c r="M246" s="147">
        <f t="shared" si="2"/>
        <v>0</v>
      </c>
      <c r="N246" s="147">
        <f t="shared" si="3"/>
        <v>0</v>
      </c>
      <c r="O246" s="147">
        <f t="shared" si="4"/>
        <v>0</v>
      </c>
      <c r="P246" s="148">
        <f t="shared" si="324"/>
        <v>0.374</v>
      </c>
      <c r="Q246" s="147">
        <f t="shared" si="325"/>
        <v>0</v>
      </c>
      <c r="R246" s="147">
        <f t="shared" si="326"/>
        <v>0</v>
      </c>
      <c r="S246" s="147">
        <f t="shared" si="327"/>
        <v>0</v>
      </c>
      <c r="T246" s="200" t="str">
        <f t="shared" si="328"/>
        <v>V</v>
      </c>
      <c r="U246" s="214">
        <v>1</v>
      </c>
      <c r="V246" s="214">
        <v>1</v>
      </c>
      <c r="W246" s="214">
        <v>1</v>
      </c>
      <c r="X246" s="214">
        <v>1</v>
      </c>
      <c r="Y246" s="142"/>
      <c r="Z246" s="149">
        <f t="shared" si="329"/>
        <v>3646.5</v>
      </c>
      <c r="AA246" s="150">
        <f t="shared" si="330"/>
        <v>5.3482000000000003</v>
      </c>
      <c r="AB246" s="151"/>
      <c r="AE246" s="582">
        <f t="shared" si="331"/>
        <v>0</v>
      </c>
      <c r="AF246" s="582">
        <f t="shared" si="332"/>
        <v>0</v>
      </c>
    </row>
    <row r="247" spans="2:32" ht="18" customHeight="1">
      <c r="B247" s="142" t="s">
        <v>454</v>
      </c>
      <c r="C247" s="221" t="s">
        <v>182</v>
      </c>
      <c r="D247" s="222">
        <v>0</v>
      </c>
      <c r="E247" s="144" t="s">
        <v>456</v>
      </c>
      <c r="F247" s="63" t="s">
        <v>281</v>
      </c>
      <c r="G247" s="63" t="s">
        <v>271</v>
      </c>
      <c r="H247" s="51" t="s">
        <v>296</v>
      </c>
      <c r="I247" s="145">
        <v>6.16</v>
      </c>
      <c r="J247" s="213">
        <v>5255</v>
      </c>
      <c r="K247" s="146">
        <f t="shared" si="323"/>
        <v>255</v>
      </c>
      <c r="L247" s="147">
        <f t="shared" si="1"/>
        <v>4.8232800000000005</v>
      </c>
      <c r="M247" s="147">
        <f t="shared" si="2"/>
        <v>0</v>
      </c>
      <c r="N247" s="147">
        <f t="shared" si="3"/>
        <v>0</v>
      </c>
      <c r="O247" s="147">
        <f t="shared" si="4"/>
        <v>0</v>
      </c>
      <c r="P247" s="148">
        <f t="shared" si="324"/>
        <v>0.78300000000000003</v>
      </c>
      <c r="Q247" s="147">
        <f t="shared" si="325"/>
        <v>0</v>
      </c>
      <c r="R247" s="147">
        <f t="shared" si="326"/>
        <v>0</v>
      </c>
      <c r="S247" s="147">
        <f t="shared" si="327"/>
        <v>0</v>
      </c>
      <c r="T247" s="200" t="str">
        <f t="shared" si="328"/>
        <v>V</v>
      </c>
      <c r="U247" s="214">
        <v>1</v>
      </c>
      <c r="V247" s="214">
        <v>1</v>
      </c>
      <c r="W247" s="214">
        <v>1</v>
      </c>
      <c r="X247" s="214">
        <v>1</v>
      </c>
      <c r="Y247" s="142"/>
      <c r="Z247" s="149">
        <f t="shared" si="329"/>
        <v>1570.8</v>
      </c>
      <c r="AA247" s="150">
        <f t="shared" si="330"/>
        <v>4.8232800000000005</v>
      </c>
      <c r="AB247" s="151"/>
      <c r="AE247" s="582">
        <f t="shared" si="331"/>
        <v>0</v>
      </c>
      <c r="AF247" s="582">
        <f t="shared" si="332"/>
        <v>0</v>
      </c>
    </row>
    <row r="248" spans="2:32" ht="18" customHeight="1">
      <c r="B248" s="142" t="s">
        <v>454</v>
      </c>
      <c r="C248" s="221" t="s">
        <v>182</v>
      </c>
      <c r="D248" s="222">
        <v>0</v>
      </c>
      <c r="E248" s="144">
        <v>3</v>
      </c>
      <c r="F248" s="63" t="s">
        <v>144</v>
      </c>
      <c r="G248" s="63" t="s">
        <v>271</v>
      </c>
      <c r="H248" s="51" t="s">
        <v>315</v>
      </c>
      <c r="I248" s="145">
        <v>10.26</v>
      </c>
      <c r="J248" s="213">
        <v>8255</v>
      </c>
      <c r="K248" s="146">
        <f t="shared" si="323"/>
        <v>255</v>
      </c>
      <c r="L248" s="147">
        <f t="shared" si="1"/>
        <v>20.52</v>
      </c>
      <c r="M248" s="147">
        <f t="shared" si="2"/>
        <v>0</v>
      </c>
      <c r="N248" s="147">
        <f t="shared" si="3"/>
        <v>0</v>
      </c>
      <c r="O248" s="147">
        <f t="shared" si="4"/>
        <v>0</v>
      </c>
      <c r="P248" s="148">
        <f t="shared" si="324"/>
        <v>2</v>
      </c>
      <c r="Q248" s="147">
        <f t="shared" si="325"/>
        <v>0</v>
      </c>
      <c r="R248" s="147">
        <f t="shared" si="326"/>
        <v>0</v>
      </c>
      <c r="S248" s="147">
        <f t="shared" si="327"/>
        <v>0</v>
      </c>
      <c r="T248" s="200" t="str">
        <f t="shared" si="328"/>
        <v>V</v>
      </c>
      <c r="U248" s="214">
        <v>1</v>
      </c>
      <c r="V248" s="214">
        <v>1</v>
      </c>
      <c r="W248" s="214">
        <v>1</v>
      </c>
      <c r="X248" s="214">
        <v>1</v>
      </c>
      <c r="Y248" s="142"/>
      <c r="Z248" s="149">
        <f t="shared" si="329"/>
        <v>2616.2999999999997</v>
      </c>
      <c r="AA248" s="150">
        <f t="shared" si="330"/>
        <v>20.52</v>
      </c>
      <c r="AB248" s="151"/>
      <c r="AE248" s="582">
        <f t="shared" si="331"/>
        <v>0</v>
      </c>
      <c r="AF248" s="582">
        <f t="shared" si="332"/>
        <v>0</v>
      </c>
    </row>
    <row r="249" spans="2:32" ht="18" customHeight="1">
      <c r="B249" s="142" t="s">
        <v>454</v>
      </c>
      <c r="C249" s="221" t="s">
        <v>182</v>
      </c>
      <c r="D249" s="222">
        <v>0</v>
      </c>
      <c r="E249" s="144">
        <v>4</v>
      </c>
      <c r="F249" s="63" t="s">
        <v>370</v>
      </c>
      <c r="G249" s="63" t="s">
        <v>271</v>
      </c>
      <c r="H249" s="51" t="s">
        <v>455</v>
      </c>
      <c r="I249" s="145">
        <v>10.8</v>
      </c>
      <c r="J249" s="213">
        <v>6255</v>
      </c>
      <c r="K249" s="146">
        <f t="shared" si="323"/>
        <v>255</v>
      </c>
      <c r="L249" s="147">
        <f t="shared" si="1"/>
        <v>12.139200000000002</v>
      </c>
      <c r="M249" s="147">
        <f t="shared" si="2"/>
        <v>0</v>
      </c>
      <c r="N249" s="147">
        <f t="shared" si="3"/>
        <v>0</v>
      </c>
      <c r="O249" s="147">
        <f t="shared" si="4"/>
        <v>0</v>
      </c>
      <c r="P249" s="148">
        <f t="shared" si="324"/>
        <v>1.1240000000000001</v>
      </c>
      <c r="Q249" s="147">
        <f t="shared" si="325"/>
        <v>0</v>
      </c>
      <c r="R249" s="147">
        <f t="shared" si="326"/>
        <v>0</v>
      </c>
      <c r="S249" s="147">
        <f t="shared" si="327"/>
        <v>0</v>
      </c>
      <c r="T249" s="200" t="str">
        <f t="shared" si="328"/>
        <v>V</v>
      </c>
      <c r="U249" s="214">
        <v>1</v>
      </c>
      <c r="V249" s="214">
        <v>1</v>
      </c>
      <c r="W249" s="214">
        <v>1</v>
      </c>
      <c r="X249" s="214">
        <v>1</v>
      </c>
      <c r="Y249" s="142"/>
      <c r="Z249" s="149">
        <f t="shared" si="329"/>
        <v>2754</v>
      </c>
      <c r="AA249" s="150">
        <f t="shared" si="330"/>
        <v>12.139200000000002</v>
      </c>
      <c r="AB249" s="151"/>
      <c r="AE249" s="582">
        <f t="shared" si="331"/>
        <v>0</v>
      </c>
      <c r="AF249" s="582">
        <f t="shared" si="332"/>
        <v>0</v>
      </c>
    </row>
    <row r="250" spans="2:32" ht="18" customHeight="1">
      <c r="B250" s="142" t="s">
        <v>454</v>
      </c>
      <c r="C250" s="221" t="s">
        <v>182</v>
      </c>
      <c r="D250" s="222">
        <v>0</v>
      </c>
      <c r="E250" s="144">
        <v>5</v>
      </c>
      <c r="F250" s="63" t="s">
        <v>457</v>
      </c>
      <c r="G250" s="63" t="s">
        <v>271</v>
      </c>
      <c r="H250" s="51" t="s">
        <v>455</v>
      </c>
      <c r="I250" s="145">
        <v>126.6</v>
      </c>
      <c r="J250" s="213">
        <v>18255</v>
      </c>
      <c r="K250" s="146">
        <f t="shared" si="323"/>
        <v>255</v>
      </c>
      <c r="L250" s="147">
        <f t="shared" si="1"/>
        <v>72.668399999999991</v>
      </c>
      <c r="M250" s="147">
        <f t="shared" si="2"/>
        <v>0</v>
      </c>
      <c r="N250" s="147">
        <f t="shared" si="3"/>
        <v>0</v>
      </c>
      <c r="O250" s="147">
        <f t="shared" si="4"/>
        <v>0</v>
      </c>
      <c r="P250" s="148">
        <f t="shared" si="324"/>
        <v>0.57399999999999995</v>
      </c>
      <c r="Q250" s="147">
        <f t="shared" si="325"/>
        <v>0</v>
      </c>
      <c r="R250" s="147">
        <f t="shared" si="326"/>
        <v>0</v>
      </c>
      <c r="S250" s="147">
        <f t="shared" si="327"/>
        <v>0</v>
      </c>
      <c r="T250" s="200" t="str">
        <f t="shared" si="328"/>
        <v>V</v>
      </c>
      <c r="U250" s="214">
        <v>1</v>
      </c>
      <c r="V250" s="214">
        <v>1</v>
      </c>
      <c r="W250" s="214">
        <v>1</v>
      </c>
      <c r="X250" s="214">
        <v>1</v>
      </c>
      <c r="Y250" s="142"/>
      <c r="Z250" s="149">
        <f t="shared" si="329"/>
        <v>32283</v>
      </c>
      <c r="AA250" s="150">
        <f t="shared" si="330"/>
        <v>72.668399999999991</v>
      </c>
      <c r="AB250" s="151"/>
      <c r="AE250" s="582">
        <f t="shared" si="331"/>
        <v>0</v>
      </c>
      <c r="AF250" s="582">
        <f t="shared" si="332"/>
        <v>0</v>
      </c>
    </row>
    <row r="251" spans="2:32" ht="18" customHeight="1">
      <c r="B251" s="142" t="s">
        <v>454</v>
      </c>
      <c r="C251" s="221" t="s">
        <v>182</v>
      </c>
      <c r="D251" s="222">
        <v>0</v>
      </c>
      <c r="E251" s="144">
        <v>6</v>
      </c>
      <c r="F251" s="63" t="s">
        <v>353</v>
      </c>
      <c r="G251" s="63" t="s">
        <v>271</v>
      </c>
      <c r="H251" s="51" t="s">
        <v>455</v>
      </c>
      <c r="I251" s="145">
        <v>10.79</v>
      </c>
      <c r="J251" s="213">
        <v>3255</v>
      </c>
      <c r="K251" s="146">
        <f t="shared" si="323"/>
        <v>255</v>
      </c>
      <c r="L251" s="147">
        <f t="shared" si="1"/>
        <v>4.0354599999999996</v>
      </c>
      <c r="M251" s="147">
        <f t="shared" si="2"/>
        <v>0</v>
      </c>
      <c r="N251" s="147">
        <f t="shared" si="3"/>
        <v>0</v>
      </c>
      <c r="O251" s="147">
        <f t="shared" si="4"/>
        <v>0</v>
      </c>
      <c r="P251" s="148">
        <f t="shared" si="324"/>
        <v>0.374</v>
      </c>
      <c r="Q251" s="147">
        <f t="shared" si="325"/>
        <v>0</v>
      </c>
      <c r="R251" s="147">
        <f t="shared" si="326"/>
        <v>0</v>
      </c>
      <c r="S251" s="147">
        <f t="shared" si="327"/>
        <v>0</v>
      </c>
      <c r="T251" s="200" t="str">
        <f t="shared" si="328"/>
        <v>V</v>
      </c>
      <c r="U251" s="214">
        <v>1</v>
      </c>
      <c r="V251" s="214">
        <v>1</v>
      </c>
      <c r="W251" s="214">
        <v>1</v>
      </c>
      <c r="X251" s="214">
        <v>1</v>
      </c>
      <c r="Y251" s="142"/>
      <c r="Z251" s="149">
        <f t="shared" si="329"/>
        <v>2751.45</v>
      </c>
      <c r="AA251" s="150">
        <f t="shared" si="330"/>
        <v>4.0354599999999996</v>
      </c>
      <c r="AB251" s="151"/>
      <c r="AE251" s="582">
        <f t="shared" si="331"/>
        <v>0</v>
      </c>
      <c r="AF251" s="582">
        <f t="shared" si="332"/>
        <v>0</v>
      </c>
    </row>
    <row r="252" spans="2:32" ht="18" customHeight="1">
      <c r="B252" s="142" t="s">
        <v>454</v>
      </c>
      <c r="C252" s="221" t="s">
        <v>182</v>
      </c>
      <c r="D252" s="222">
        <v>0</v>
      </c>
      <c r="E252" s="144">
        <v>7</v>
      </c>
      <c r="F252" s="63" t="s">
        <v>458</v>
      </c>
      <c r="G252" s="63" t="s">
        <v>271</v>
      </c>
      <c r="H252" s="51" t="s">
        <v>276</v>
      </c>
      <c r="I252" s="145">
        <v>30.25</v>
      </c>
      <c r="J252" s="213">
        <v>11255</v>
      </c>
      <c r="K252" s="146">
        <f t="shared" si="323"/>
        <v>255</v>
      </c>
      <c r="L252" s="147">
        <f t="shared" si="1"/>
        <v>38.841000000000001</v>
      </c>
      <c r="M252" s="147">
        <f t="shared" si="2"/>
        <v>0</v>
      </c>
      <c r="N252" s="147">
        <f t="shared" si="3"/>
        <v>0</v>
      </c>
      <c r="O252" s="147">
        <f t="shared" si="4"/>
        <v>0</v>
      </c>
      <c r="P252" s="148">
        <f t="shared" si="324"/>
        <v>1.284</v>
      </c>
      <c r="Q252" s="147">
        <f t="shared" si="325"/>
        <v>0</v>
      </c>
      <c r="R252" s="147">
        <f t="shared" si="326"/>
        <v>0</v>
      </c>
      <c r="S252" s="147">
        <f t="shared" si="327"/>
        <v>0</v>
      </c>
      <c r="T252" s="200" t="str">
        <f t="shared" si="328"/>
        <v>S</v>
      </c>
      <c r="U252" s="214">
        <v>1</v>
      </c>
      <c r="V252" s="214">
        <v>1</v>
      </c>
      <c r="W252" s="214">
        <v>1</v>
      </c>
      <c r="X252" s="214">
        <v>1</v>
      </c>
      <c r="Y252" s="142"/>
      <c r="Z252" s="149">
        <f t="shared" ref="Z252:Z315" si="445">I252*K252</f>
        <v>7713.75</v>
      </c>
      <c r="AA252" s="150">
        <f t="shared" ref="AA252:AA315" si="446">L252+M252+N252+O252</f>
        <v>38.841000000000001</v>
      </c>
      <c r="AB252" s="151"/>
      <c r="AE252" s="582">
        <f t="shared" ref="AE252:AE315" si="447">SUMIF(H252,"Linoleum",I252)</f>
        <v>0</v>
      </c>
      <c r="AF252" s="582">
        <f t="shared" ref="AF252:AF315" si="448">SUMIF(H252,"Tapijt",I252)</f>
        <v>0</v>
      </c>
    </row>
    <row r="253" spans="2:32" ht="18" customHeight="1">
      <c r="B253" s="142" t="s">
        <v>454</v>
      </c>
      <c r="C253" s="221" t="s">
        <v>182</v>
      </c>
      <c r="D253" s="222">
        <v>0</v>
      </c>
      <c r="E253" s="144" t="s">
        <v>459</v>
      </c>
      <c r="F253" s="63" t="s">
        <v>460</v>
      </c>
      <c r="G253" s="63" t="s">
        <v>266</v>
      </c>
      <c r="H253" s="51" t="s">
        <v>276</v>
      </c>
      <c r="I253" s="145">
        <v>6</v>
      </c>
      <c r="J253" s="213">
        <v>2255</v>
      </c>
      <c r="K253" s="146">
        <f t="shared" si="323"/>
        <v>255</v>
      </c>
      <c r="L253" s="147">
        <f t="shared" si="1"/>
        <v>19.248000000000001</v>
      </c>
      <c r="M253" s="147">
        <f t="shared" si="2"/>
        <v>0</v>
      </c>
      <c r="N253" s="147">
        <f t="shared" si="3"/>
        <v>0</v>
      </c>
      <c r="O253" s="147">
        <f t="shared" si="4"/>
        <v>0</v>
      </c>
      <c r="P253" s="148">
        <f t="shared" si="324"/>
        <v>3.2080000000000002</v>
      </c>
      <c r="Q253" s="147">
        <f t="shared" si="325"/>
        <v>0</v>
      </c>
      <c r="R253" s="147">
        <f t="shared" si="326"/>
        <v>0</v>
      </c>
      <c r="S253" s="147">
        <f t="shared" si="327"/>
        <v>0</v>
      </c>
      <c r="T253" s="200" t="str">
        <f t="shared" si="328"/>
        <v>S</v>
      </c>
      <c r="U253" s="214">
        <v>1</v>
      </c>
      <c r="V253" s="214">
        <v>1</v>
      </c>
      <c r="W253" s="214">
        <v>1</v>
      </c>
      <c r="X253" s="214">
        <v>1</v>
      </c>
      <c r="Y253" s="142"/>
      <c r="Z253" s="149">
        <f t="shared" si="445"/>
        <v>1530</v>
      </c>
      <c r="AA253" s="150">
        <f t="shared" si="446"/>
        <v>19.248000000000001</v>
      </c>
      <c r="AB253" s="151"/>
      <c r="AE253" s="582">
        <f t="shared" si="447"/>
        <v>0</v>
      </c>
      <c r="AF253" s="582">
        <f t="shared" si="448"/>
        <v>0</v>
      </c>
    </row>
    <row r="254" spans="2:32" ht="18" customHeight="1">
      <c r="B254" s="142" t="s">
        <v>454</v>
      </c>
      <c r="C254" s="221" t="s">
        <v>182</v>
      </c>
      <c r="D254" s="222">
        <v>0</v>
      </c>
      <c r="E254" s="144">
        <v>8</v>
      </c>
      <c r="F254" s="63" t="s">
        <v>265</v>
      </c>
      <c r="G254" s="63" t="s">
        <v>266</v>
      </c>
      <c r="H254" s="51" t="s">
        <v>276</v>
      </c>
      <c r="I254" s="145">
        <v>8.43</v>
      </c>
      <c r="J254" s="213">
        <v>2255</v>
      </c>
      <c r="K254" s="146">
        <f t="shared" ref="K254:K346" si="449">SUM(IF(J254="",0,VLOOKUP(J254,Kengetal,2)))</f>
        <v>255</v>
      </c>
      <c r="L254" s="147">
        <f t="shared" si="1"/>
        <v>27.04344</v>
      </c>
      <c r="M254" s="147">
        <f t="shared" si="2"/>
        <v>0</v>
      </c>
      <c r="N254" s="147">
        <f t="shared" si="3"/>
        <v>0</v>
      </c>
      <c r="O254" s="147">
        <f t="shared" si="4"/>
        <v>0</v>
      </c>
      <c r="P254" s="148">
        <f t="shared" ref="P254:P346" si="450">IF($J254="",0,VLOOKUP($J254,Kengetal,5,FALSE))</f>
        <v>3.2080000000000002</v>
      </c>
      <c r="Q254" s="147">
        <f t="shared" ref="Q254:Q346" si="451">IF($J254="",0,VLOOKUP($J254,Kengetal,6,FALSE))</f>
        <v>0</v>
      </c>
      <c r="R254" s="147">
        <f t="shared" ref="R254:R346" si="452">IF($J254="",0,VLOOKUP($J254,Kengetal,7,FALSE))</f>
        <v>0</v>
      </c>
      <c r="S254" s="147">
        <f t="shared" ref="S254:S346" si="453">IF($J254="",0,VLOOKUP($J254,Kengetal,8,FALSE))</f>
        <v>0</v>
      </c>
      <c r="T254" s="200" t="str">
        <f t="shared" ref="T254:T346" si="454">IF(J254="","",VLOOKUP(J254,Kengetal,13,FALSE))</f>
        <v>S</v>
      </c>
      <c r="U254" s="214">
        <v>1</v>
      </c>
      <c r="V254" s="214">
        <v>1</v>
      </c>
      <c r="W254" s="214">
        <v>1</v>
      </c>
      <c r="X254" s="214">
        <v>1</v>
      </c>
      <c r="Y254" s="142"/>
      <c r="Z254" s="149">
        <f t="shared" si="445"/>
        <v>2149.65</v>
      </c>
      <c r="AA254" s="150">
        <f t="shared" si="446"/>
        <v>27.04344</v>
      </c>
      <c r="AB254" s="151"/>
      <c r="AE254" s="582">
        <f t="shared" si="447"/>
        <v>0</v>
      </c>
      <c r="AF254" s="582">
        <f t="shared" si="448"/>
        <v>0</v>
      </c>
    </row>
    <row r="255" spans="2:32" ht="18" customHeight="1">
      <c r="B255" s="142" t="s">
        <v>454</v>
      </c>
      <c r="C255" s="221" t="s">
        <v>182</v>
      </c>
      <c r="D255" s="222">
        <v>0</v>
      </c>
      <c r="E255" s="144" t="s">
        <v>461</v>
      </c>
      <c r="F255" s="63" t="s">
        <v>265</v>
      </c>
      <c r="G255" s="63" t="s">
        <v>266</v>
      </c>
      <c r="H255" s="51" t="s">
        <v>276</v>
      </c>
      <c r="I255" s="145">
        <v>1.1599999999999999</v>
      </c>
      <c r="J255" s="213">
        <v>2255</v>
      </c>
      <c r="K255" s="146">
        <f t="shared" si="449"/>
        <v>255</v>
      </c>
      <c r="L255" s="147">
        <f t="shared" si="1"/>
        <v>3.7212800000000001</v>
      </c>
      <c r="M255" s="147">
        <f t="shared" si="2"/>
        <v>0</v>
      </c>
      <c r="N255" s="147">
        <f t="shared" si="3"/>
        <v>0</v>
      </c>
      <c r="O255" s="147">
        <f t="shared" si="4"/>
        <v>0</v>
      </c>
      <c r="P255" s="148">
        <f t="shared" si="450"/>
        <v>3.2080000000000002</v>
      </c>
      <c r="Q255" s="147">
        <f t="shared" si="451"/>
        <v>0</v>
      </c>
      <c r="R255" s="147">
        <f t="shared" si="452"/>
        <v>0</v>
      </c>
      <c r="S255" s="147">
        <f t="shared" si="453"/>
        <v>0</v>
      </c>
      <c r="T255" s="200" t="str">
        <f t="shared" si="454"/>
        <v>S</v>
      </c>
      <c r="U255" s="214">
        <v>1</v>
      </c>
      <c r="V255" s="214">
        <v>1</v>
      </c>
      <c r="W255" s="214">
        <v>1</v>
      </c>
      <c r="X255" s="214">
        <v>1</v>
      </c>
      <c r="Y255" s="142"/>
      <c r="Z255" s="149">
        <f t="shared" si="445"/>
        <v>295.79999999999995</v>
      </c>
      <c r="AA255" s="150">
        <f t="shared" si="446"/>
        <v>3.7212800000000001</v>
      </c>
      <c r="AB255" s="151"/>
      <c r="AE255" s="582">
        <f t="shared" si="447"/>
        <v>0</v>
      </c>
      <c r="AF255" s="582">
        <f t="shared" si="448"/>
        <v>0</v>
      </c>
    </row>
    <row r="256" spans="2:32" ht="18" customHeight="1">
      <c r="B256" s="142" t="s">
        <v>454</v>
      </c>
      <c r="C256" s="221" t="s">
        <v>182</v>
      </c>
      <c r="D256" s="222">
        <v>0</v>
      </c>
      <c r="E256" s="144">
        <v>9</v>
      </c>
      <c r="F256" s="63" t="s">
        <v>361</v>
      </c>
      <c r="G256" s="63" t="s">
        <v>266</v>
      </c>
      <c r="H256" s="51" t="s">
        <v>276</v>
      </c>
      <c r="I256" s="145">
        <v>3.51</v>
      </c>
      <c r="J256" s="213">
        <v>2255</v>
      </c>
      <c r="K256" s="146">
        <f t="shared" si="449"/>
        <v>255</v>
      </c>
      <c r="L256" s="147">
        <f t="shared" si="1"/>
        <v>11.26008</v>
      </c>
      <c r="M256" s="147">
        <f t="shared" si="2"/>
        <v>0</v>
      </c>
      <c r="N256" s="147">
        <f t="shared" si="3"/>
        <v>0</v>
      </c>
      <c r="O256" s="147">
        <f t="shared" si="4"/>
        <v>0</v>
      </c>
      <c r="P256" s="148">
        <f t="shared" si="450"/>
        <v>3.2080000000000002</v>
      </c>
      <c r="Q256" s="147">
        <f t="shared" si="451"/>
        <v>0</v>
      </c>
      <c r="R256" s="147">
        <f t="shared" si="452"/>
        <v>0</v>
      </c>
      <c r="S256" s="147">
        <f t="shared" si="453"/>
        <v>0</v>
      </c>
      <c r="T256" s="200" t="str">
        <f t="shared" si="454"/>
        <v>S</v>
      </c>
      <c r="U256" s="214">
        <v>1</v>
      </c>
      <c r="V256" s="214">
        <v>1</v>
      </c>
      <c r="W256" s="214">
        <v>1</v>
      </c>
      <c r="X256" s="214">
        <v>1</v>
      </c>
      <c r="Y256" s="142"/>
      <c r="Z256" s="149">
        <f t="shared" si="445"/>
        <v>895.05</v>
      </c>
      <c r="AA256" s="150">
        <f t="shared" si="446"/>
        <v>11.26008</v>
      </c>
      <c r="AB256" s="151"/>
      <c r="AE256" s="582">
        <f t="shared" si="447"/>
        <v>0</v>
      </c>
      <c r="AF256" s="582">
        <f t="shared" si="448"/>
        <v>0</v>
      </c>
    </row>
    <row r="257" spans="2:32" ht="18" customHeight="1">
      <c r="B257" s="142" t="s">
        <v>454</v>
      </c>
      <c r="C257" s="221" t="s">
        <v>182</v>
      </c>
      <c r="D257" s="222">
        <v>0</v>
      </c>
      <c r="E257" s="144">
        <v>10</v>
      </c>
      <c r="F257" s="63" t="s">
        <v>458</v>
      </c>
      <c r="G257" s="63" t="s">
        <v>271</v>
      </c>
      <c r="H257" s="51" t="s">
        <v>276</v>
      </c>
      <c r="I257" s="145">
        <v>5.36</v>
      </c>
      <c r="J257" s="213">
        <v>11255</v>
      </c>
      <c r="K257" s="146">
        <f t="shared" si="449"/>
        <v>255</v>
      </c>
      <c r="L257" s="147">
        <f t="shared" si="1"/>
        <v>6.8822400000000004</v>
      </c>
      <c r="M257" s="147">
        <f t="shared" si="2"/>
        <v>0</v>
      </c>
      <c r="N257" s="147">
        <f t="shared" si="3"/>
        <v>0</v>
      </c>
      <c r="O257" s="147">
        <f t="shared" si="4"/>
        <v>0</v>
      </c>
      <c r="P257" s="148">
        <f t="shared" si="450"/>
        <v>1.284</v>
      </c>
      <c r="Q257" s="147">
        <f t="shared" si="451"/>
        <v>0</v>
      </c>
      <c r="R257" s="147">
        <f t="shared" si="452"/>
        <v>0</v>
      </c>
      <c r="S257" s="147">
        <f t="shared" si="453"/>
        <v>0</v>
      </c>
      <c r="T257" s="200" t="str">
        <f t="shared" si="454"/>
        <v>S</v>
      </c>
      <c r="U257" s="214">
        <v>1</v>
      </c>
      <c r="V257" s="214">
        <v>1</v>
      </c>
      <c r="W257" s="214">
        <v>1</v>
      </c>
      <c r="X257" s="214">
        <v>1</v>
      </c>
      <c r="Y257" s="142"/>
      <c r="Z257" s="149">
        <f t="shared" si="445"/>
        <v>1366.8000000000002</v>
      </c>
      <c r="AA257" s="150">
        <f t="shared" si="446"/>
        <v>6.8822400000000004</v>
      </c>
      <c r="AB257" s="151"/>
      <c r="AE257" s="582">
        <f t="shared" si="447"/>
        <v>0</v>
      </c>
      <c r="AF257" s="582">
        <f t="shared" si="448"/>
        <v>0</v>
      </c>
    </row>
    <row r="258" spans="2:32" ht="18" customHeight="1">
      <c r="B258" s="142" t="s">
        <v>454</v>
      </c>
      <c r="C258" s="221" t="s">
        <v>182</v>
      </c>
      <c r="D258" s="222">
        <v>0</v>
      </c>
      <c r="E258" s="144" t="s">
        <v>462</v>
      </c>
      <c r="F258" s="63" t="s">
        <v>460</v>
      </c>
      <c r="G258" s="63" t="s">
        <v>266</v>
      </c>
      <c r="H258" s="51" t="s">
        <v>276</v>
      </c>
      <c r="I258" s="145">
        <v>2.37</v>
      </c>
      <c r="J258" s="213">
        <v>2255</v>
      </c>
      <c r="K258" s="146">
        <f t="shared" si="449"/>
        <v>255</v>
      </c>
      <c r="L258" s="147">
        <f t="shared" si="1"/>
        <v>7.6029600000000004</v>
      </c>
      <c r="M258" s="147">
        <f t="shared" si="2"/>
        <v>0</v>
      </c>
      <c r="N258" s="147">
        <f t="shared" si="3"/>
        <v>0</v>
      </c>
      <c r="O258" s="147">
        <f t="shared" si="4"/>
        <v>0</v>
      </c>
      <c r="P258" s="148">
        <f t="shared" si="450"/>
        <v>3.2080000000000002</v>
      </c>
      <c r="Q258" s="147">
        <f t="shared" si="451"/>
        <v>0</v>
      </c>
      <c r="R258" s="147">
        <f t="shared" si="452"/>
        <v>0</v>
      </c>
      <c r="S258" s="147">
        <f t="shared" si="453"/>
        <v>0</v>
      </c>
      <c r="T258" s="200" t="str">
        <f t="shared" si="454"/>
        <v>S</v>
      </c>
      <c r="U258" s="214">
        <v>1</v>
      </c>
      <c r="V258" s="214">
        <v>1</v>
      </c>
      <c r="W258" s="214">
        <v>1</v>
      </c>
      <c r="X258" s="214">
        <v>1</v>
      </c>
      <c r="Y258" s="142"/>
      <c r="Z258" s="149">
        <f t="shared" si="445"/>
        <v>604.35</v>
      </c>
      <c r="AA258" s="150">
        <f t="shared" si="446"/>
        <v>7.6029600000000004</v>
      </c>
      <c r="AB258" s="151"/>
      <c r="AE258" s="582">
        <f t="shared" si="447"/>
        <v>0</v>
      </c>
      <c r="AF258" s="582">
        <f t="shared" si="448"/>
        <v>0</v>
      </c>
    </row>
    <row r="259" spans="2:32" ht="18" customHeight="1">
      <c r="B259" s="142" t="s">
        <v>454</v>
      </c>
      <c r="C259" s="221" t="s">
        <v>182</v>
      </c>
      <c r="D259" s="222">
        <v>0</v>
      </c>
      <c r="E259" s="144">
        <v>11</v>
      </c>
      <c r="F259" s="63" t="s">
        <v>463</v>
      </c>
      <c r="G259" s="63" t="s">
        <v>263</v>
      </c>
      <c r="H259" s="51" t="s">
        <v>455</v>
      </c>
      <c r="I259" s="145">
        <v>16.8</v>
      </c>
      <c r="J259" s="213">
        <v>1104</v>
      </c>
      <c r="K259" s="146">
        <f t="shared" si="449"/>
        <v>104</v>
      </c>
      <c r="L259" s="147">
        <f t="shared" si="1"/>
        <v>4.4399435294117646</v>
      </c>
      <c r="M259" s="147">
        <f t="shared" si="2"/>
        <v>0</v>
      </c>
      <c r="N259" s="147">
        <f t="shared" si="3"/>
        <v>0</v>
      </c>
      <c r="O259" s="147">
        <f t="shared" si="4"/>
        <v>0</v>
      </c>
      <c r="P259" s="148">
        <f t="shared" si="450"/>
        <v>0.26428235294117647</v>
      </c>
      <c r="Q259" s="147">
        <f t="shared" si="451"/>
        <v>0</v>
      </c>
      <c r="R259" s="147">
        <f t="shared" si="452"/>
        <v>0</v>
      </c>
      <c r="S259" s="147">
        <f t="shared" si="453"/>
        <v>0</v>
      </c>
      <c r="T259" s="200" t="str">
        <f t="shared" si="454"/>
        <v>B</v>
      </c>
      <c r="U259" s="214">
        <v>1</v>
      </c>
      <c r="V259" s="214">
        <v>1</v>
      </c>
      <c r="W259" s="214">
        <v>1</v>
      </c>
      <c r="X259" s="214">
        <v>1</v>
      </c>
      <c r="Y259" s="142"/>
      <c r="Z259" s="149">
        <f t="shared" si="445"/>
        <v>1747.2</v>
      </c>
      <c r="AA259" s="150">
        <f t="shared" si="446"/>
        <v>4.4399435294117646</v>
      </c>
      <c r="AB259" s="151"/>
      <c r="AE259" s="582">
        <f t="shared" si="447"/>
        <v>0</v>
      </c>
      <c r="AF259" s="582">
        <f t="shared" si="448"/>
        <v>0</v>
      </c>
    </row>
    <row r="260" spans="2:32" ht="18" customHeight="1">
      <c r="B260" s="142" t="s">
        <v>454</v>
      </c>
      <c r="C260" s="221" t="s">
        <v>182</v>
      </c>
      <c r="D260" s="143">
        <v>1</v>
      </c>
      <c r="E260" s="144">
        <v>101</v>
      </c>
      <c r="F260" s="63" t="s">
        <v>420</v>
      </c>
      <c r="G260" s="63" t="s">
        <v>271</v>
      </c>
      <c r="H260" s="51" t="s">
        <v>455</v>
      </c>
      <c r="I260" s="145">
        <v>4.8</v>
      </c>
      <c r="J260" s="213">
        <v>3255</v>
      </c>
      <c r="K260" s="146">
        <f t="shared" si="449"/>
        <v>255</v>
      </c>
      <c r="L260" s="147">
        <f t="shared" si="1"/>
        <v>1.7951999999999999</v>
      </c>
      <c r="M260" s="147">
        <f t="shared" si="2"/>
        <v>0</v>
      </c>
      <c r="N260" s="147">
        <f t="shared" si="3"/>
        <v>0</v>
      </c>
      <c r="O260" s="147">
        <f t="shared" si="4"/>
        <v>0</v>
      </c>
      <c r="P260" s="148">
        <f t="shared" si="450"/>
        <v>0.374</v>
      </c>
      <c r="Q260" s="147">
        <f t="shared" si="451"/>
        <v>0</v>
      </c>
      <c r="R260" s="147">
        <f t="shared" si="452"/>
        <v>0</v>
      </c>
      <c r="S260" s="147">
        <f t="shared" si="453"/>
        <v>0</v>
      </c>
      <c r="T260" s="200" t="str">
        <f t="shared" si="454"/>
        <v>V</v>
      </c>
      <c r="U260" s="214">
        <v>1</v>
      </c>
      <c r="V260" s="214">
        <v>1</v>
      </c>
      <c r="W260" s="214">
        <v>1</v>
      </c>
      <c r="X260" s="214">
        <v>1</v>
      </c>
      <c r="Y260" s="142"/>
      <c r="Z260" s="149">
        <f t="shared" si="445"/>
        <v>1224</v>
      </c>
      <c r="AA260" s="150">
        <f t="shared" si="446"/>
        <v>1.7951999999999999</v>
      </c>
      <c r="AB260" s="151"/>
      <c r="AE260" s="582">
        <f t="shared" si="447"/>
        <v>0</v>
      </c>
      <c r="AF260" s="582">
        <f t="shared" si="448"/>
        <v>0</v>
      </c>
    </row>
    <row r="261" spans="2:32" ht="18" customHeight="1">
      <c r="B261" s="142" t="s">
        <v>454</v>
      </c>
      <c r="C261" s="221" t="s">
        <v>182</v>
      </c>
      <c r="D261" s="143">
        <v>1</v>
      </c>
      <c r="E261" s="144" t="s">
        <v>464</v>
      </c>
      <c r="F261" s="63" t="s">
        <v>281</v>
      </c>
      <c r="G261" s="63" t="s">
        <v>271</v>
      </c>
      <c r="H261" s="51" t="s">
        <v>296</v>
      </c>
      <c r="I261" s="145">
        <v>6.16</v>
      </c>
      <c r="J261" s="213">
        <v>5255</v>
      </c>
      <c r="K261" s="146">
        <f t="shared" si="449"/>
        <v>255</v>
      </c>
      <c r="L261" s="147">
        <f t="shared" si="1"/>
        <v>4.8232800000000005</v>
      </c>
      <c r="M261" s="147">
        <f t="shared" si="2"/>
        <v>0</v>
      </c>
      <c r="N261" s="147">
        <f t="shared" si="3"/>
        <v>0</v>
      </c>
      <c r="O261" s="147">
        <f t="shared" si="4"/>
        <v>0</v>
      </c>
      <c r="P261" s="148">
        <f t="shared" si="450"/>
        <v>0.78300000000000003</v>
      </c>
      <c r="Q261" s="147">
        <f t="shared" si="451"/>
        <v>0</v>
      </c>
      <c r="R261" s="147">
        <f t="shared" si="452"/>
        <v>0</v>
      </c>
      <c r="S261" s="147">
        <f t="shared" si="453"/>
        <v>0</v>
      </c>
      <c r="T261" s="200" t="str">
        <f t="shared" si="454"/>
        <v>V</v>
      </c>
      <c r="U261" s="214">
        <v>1</v>
      </c>
      <c r="V261" s="214">
        <v>1</v>
      </c>
      <c r="W261" s="214">
        <v>1</v>
      </c>
      <c r="X261" s="214">
        <v>1</v>
      </c>
      <c r="Y261" s="142"/>
      <c r="Z261" s="149">
        <f t="shared" si="445"/>
        <v>1570.8</v>
      </c>
      <c r="AA261" s="150">
        <f t="shared" si="446"/>
        <v>4.8232800000000005</v>
      </c>
      <c r="AB261" s="151"/>
      <c r="AE261" s="582">
        <f t="shared" si="447"/>
        <v>0</v>
      </c>
      <c r="AF261" s="582">
        <f t="shared" si="448"/>
        <v>0</v>
      </c>
    </row>
    <row r="262" spans="2:32" ht="18" customHeight="1">
      <c r="B262" s="142" t="s">
        <v>454</v>
      </c>
      <c r="C262" s="221" t="s">
        <v>182</v>
      </c>
      <c r="D262" s="143">
        <v>1</v>
      </c>
      <c r="E262" s="51">
        <v>102</v>
      </c>
      <c r="F262" s="51" t="s">
        <v>353</v>
      </c>
      <c r="G262" s="63" t="s">
        <v>271</v>
      </c>
      <c r="H262" s="51" t="s">
        <v>455</v>
      </c>
      <c r="I262" s="51">
        <v>22.15</v>
      </c>
      <c r="J262" s="213">
        <v>3255</v>
      </c>
      <c r="K262" s="146">
        <f t="shared" si="449"/>
        <v>255</v>
      </c>
      <c r="L262" s="147">
        <f t="shared" si="1"/>
        <v>8.2840999999999987</v>
      </c>
      <c r="M262" s="147">
        <f t="shared" si="2"/>
        <v>0</v>
      </c>
      <c r="N262" s="147">
        <f t="shared" si="3"/>
        <v>0</v>
      </c>
      <c r="O262" s="147">
        <f t="shared" si="4"/>
        <v>0</v>
      </c>
      <c r="P262" s="148">
        <f t="shared" si="450"/>
        <v>0.374</v>
      </c>
      <c r="Q262" s="147">
        <f t="shared" si="451"/>
        <v>0</v>
      </c>
      <c r="R262" s="147">
        <f t="shared" si="452"/>
        <v>0</v>
      </c>
      <c r="S262" s="147">
        <f t="shared" si="453"/>
        <v>0</v>
      </c>
      <c r="T262" s="200" t="str">
        <f t="shared" si="454"/>
        <v>V</v>
      </c>
      <c r="U262" s="214">
        <v>1</v>
      </c>
      <c r="V262" s="214">
        <v>1</v>
      </c>
      <c r="W262" s="214">
        <v>1</v>
      </c>
      <c r="X262" s="214">
        <v>1</v>
      </c>
      <c r="Y262" s="142"/>
      <c r="Z262" s="149">
        <f t="shared" si="445"/>
        <v>5648.25</v>
      </c>
      <c r="AA262" s="150">
        <f t="shared" si="446"/>
        <v>8.2840999999999987</v>
      </c>
      <c r="AE262" s="582">
        <f t="shared" si="447"/>
        <v>0</v>
      </c>
      <c r="AF262" s="582">
        <f t="shared" si="448"/>
        <v>0</v>
      </c>
    </row>
    <row r="263" spans="2:32" ht="18" customHeight="1">
      <c r="B263" s="142" t="s">
        <v>454</v>
      </c>
      <c r="C263" s="221" t="s">
        <v>182</v>
      </c>
      <c r="D263" s="143">
        <v>2</v>
      </c>
      <c r="E263" s="51">
        <v>103</v>
      </c>
      <c r="F263" s="51" t="s">
        <v>262</v>
      </c>
      <c r="G263" s="63" t="s">
        <v>263</v>
      </c>
      <c r="H263" s="51" t="s">
        <v>76</v>
      </c>
      <c r="I263" s="51">
        <v>16.55</v>
      </c>
      <c r="J263" s="213">
        <v>1104</v>
      </c>
      <c r="K263" s="146">
        <f t="shared" si="449"/>
        <v>104</v>
      </c>
      <c r="L263" s="147">
        <f t="shared" si="1"/>
        <v>4.3738729411764705</v>
      </c>
      <c r="M263" s="147">
        <f t="shared" si="2"/>
        <v>0</v>
      </c>
      <c r="N263" s="147">
        <f t="shared" si="3"/>
        <v>0</v>
      </c>
      <c r="O263" s="147">
        <f t="shared" si="4"/>
        <v>0</v>
      </c>
      <c r="P263" s="148">
        <f t="shared" si="450"/>
        <v>0.26428235294117647</v>
      </c>
      <c r="Q263" s="147">
        <f t="shared" si="451"/>
        <v>0</v>
      </c>
      <c r="R263" s="147">
        <f t="shared" si="452"/>
        <v>0</v>
      </c>
      <c r="S263" s="147">
        <f t="shared" si="453"/>
        <v>0</v>
      </c>
      <c r="T263" s="200" t="str">
        <f t="shared" si="454"/>
        <v>B</v>
      </c>
      <c r="U263" s="214">
        <v>1</v>
      </c>
      <c r="V263" s="214">
        <v>1</v>
      </c>
      <c r="W263" s="214">
        <v>1</v>
      </c>
      <c r="X263" s="214">
        <v>1</v>
      </c>
      <c r="Y263" s="142"/>
      <c r="Z263" s="149">
        <f t="shared" si="445"/>
        <v>1721.2</v>
      </c>
      <c r="AA263" s="150">
        <f t="shared" si="446"/>
        <v>4.3738729411764705</v>
      </c>
      <c r="AE263" s="582">
        <f t="shared" si="447"/>
        <v>0</v>
      </c>
      <c r="AF263" s="582">
        <f t="shared" si="448"/>
        <v>16.55</v>
      </c>
    </row>
    <row r="264" spans="2:32" ht="18" customHeight="1">
      <c r="B264" s="142" t="s">
        <v>454</v>
      </c>
      <c r="C264" s="221" t="s">
        <v>182</v>
      </c>
      <c r="D264" s="143">
        <v>1</v>
      </c>
      <c r="E264" s="51">
        <v>104</v>
      </c>
      <c r="F264" s="51" t="s">
        <v>262</v>
      </c>
      <c r="G264" s="63" t="s">
        <v>263</v>
      </c>
      <c r="H264" s="51" t="s">
        <v>76</v>
      </c>
      <c r="I264" s="51">
        <v>15.97</v>
      </c>
      <c r="J264" s="213">
        <v>1104</v>
      </c>
      <c r="K264" s="146">
        <f t="shared" si="449"/>
        <v>104</v>
      </c>
      <c r="L264" s="147">
        <f t="shared" si="1"/>
        <v>4.2205891764705887</v>
      </c>
      <c r="M264" s="147">
        <f t="shared" si="2"/>
        <v>0</v>
      </c>
      <c r="N264" s="147">
        <f t="shared" si="3"/>
        <v>0</v>
      </c>
      <c r="O264" s="147">
        <f t="shared" si="4"/>
        <v>0</v>
      </c>
      <c r="P264" s="148">
        <f t="shared" si="450"/>
        <v>0.26428235294117647</v>
      </c>
      <c r="Q264" s="147">
        <f t="shared" si="451"/>
        <v>0</v>
      </c>
      <c r="R264" s="147">
        <f t="shared" si="452"/>
        <v>0</v>
      </c>
      <c r="S264" s="147">
        <f t="shared" si="453"/>
        <v>0</v>
      </c>
      <c r="T264" s="200" t="str">
        <f t="shared" si="454"/>
        <v>B</v>
      </c>
      <c r="U264" s="214">
        <v>1</v>
      </c>
      <c r="V264" s="214">
        <v>1</v>
      </c>
      <c r="W264" s="214">
        <v>1</v>
      </c>
      <c r="X264" s="214">
        <v>1</v>
      </c>
      <c r="Y264" s="142"/>
      <c r="Z264" s="149">
        <f t="shared" si="445"/>
        <v>1660.88</v>
      </c>
      <c r="AA264" s="150">
        <f t="shared" si="446"/>
        <v>4.2205891764705887</v>
      </c>
      <c r="AE264" s="582">
        <f t="shared" si="447"/>
        <v>0</v>
      </c>
      <c r="AF264" s="582">
        <f t="shared" si="448"/>
        <v>15.97</v>
      </c>
    </row>
    <row r="265" spans="2:32" ht="18" customHeight="1">
      <c r="B265" s="142" t="s">
        <v>454</v>
      </c>
      <c r="C265" s="221" t="s">
        <v>182</v>
      </c>
      <c r="D265" s="143">
        <v>1</v>
      </c>
      <c r="E265" s="51">
        <v>105</v>
      </c>
      <c r="F265" s="51" t="s">
        <v>262</v>
      </c>
      <c r="G265" s="63" t="s">
        <v>263</v>
      </c>
      <c r="H265" s="51" t="s">
        <v>76</v>
      </c>
      <c r="I265" s="51">
        <v>15.81</v>
      </c>
      <c r="J265" s="213">
        <v>1104</v>
      </c>
      <c r="K265" s="146">
        <f t="shared" si="449"/>
        <v>104</v>
      </c>
      <c r="L265" s="147">
        <f t="shared" si="1"/>
        <v>4.1783039999999998</v>
      </c>
      <c r="M265" s="147">
        <f t="shared" si="2"/>
        <v>0</v>
      </c>
      <c r="N265" s="147">
        <f t="shared" si="3"/>
        <v>0</v>
      </c>
      <c r="O265" s="147">
        <f t="shared" si="4"/>
        <v>0</v>
      </c>
      <c r="P265" s="148">
        <f t="shared" si="450"/>
        <v>0.26428235294117647</v>
      </c>
      <c r="Q265" s="147">
        <f t="shared" si="451"/>
        <v>0</v>
      </c>
      <c r="R265" s="147">
        <f t="shared" si="452"/>
        <v>0</v>
      </c>
      <c r="S265" s="147">
        <f t="shared" si="453"/>
        <v>0</v>
      </c>
      <c r="T265" s="200" t="str">
        <f t="shared" si="454"/>
        <v>B</v>
      </c>
      <c r="U265" s="214">
        <v>1</v>
      </c>
      <c r="V265" s="214">
        <v>1</v>
      </c>
      <c r="W265" s="214">
        <v>1</v>
      </c>
      <c r="X265" s="214">
        <v>1</v>
      </c>
      <c r="Y265" s="142"/>
      <c r="Z265" s="149">
        <f t="shared" si="445"/>
        <v>1644.24</v>
      </c>
      <c r="AA265" s="150">
        <f t="shared" si="446"/>
        <v>4.1783039999999998</v>
      </c>
      <c r="AE265" s="582">
        <f t="shared" si="447"/>
        <v>0</v>
      </c>
      <c r="AF265" s="582">
        <f t="shared" si="448"/>
        <v>15.81</v>
      </c>
    </row>
    <row r="266" spans="2:32" ht="18" customHeight="1">
      <c r="B266" s="142" t="s">
        <v>454</v>
      </c>
      <c r="C266" s="221" t="s">
        <v>182</v>
      </c>
      <c r="D266" s="143">
        <v>1</v>
      </c>
      <c r="E266" s="51">
        <v>106</v>
      </c>
      <c r="F266" s="51" t="s">
        <v>262</v>
      </c>
      <c r="G266" s="63" t="s">
        <v>263</v>
      </c>
      <c r="H266" s="51" t="s">
        <v>76</v>
      </c>
      <c r="I266" s="51">
        <v>17.71</v>
      </c>
      <c r="J266" s="213">
        <v>1104</v>
      </c>
      <c r="K266" s="146">
        <f t="shared" si="449"/>
        <v>104</v>
      </c>
      <c r="L266" s="147">
        <f t="shared" si="1"/>
        <v>4.6804404705882359</v>
      </c>
      <c r="M266" s="147">
        <f t="shared" si="2"/>
        <v>0</v>
      </c>
      <c r="N266" s="147">
        <f t="shared" si="3"/>
        <v>0</v>
      </c>
      <c r="O266" s="147">
        <f t="shared" si="4"/>
        <v>0</v>
      </c>
      <c r="P266" s="148">
        <f t="shared" si="450"/>
        <v>0.26428235294117647</v>
      </c>
      <c r="Q266" s="147">
        <f t="shared" si="451"/>
        <v>0</v>
      </c>
      <c r="R266" s="147">
        <f t="shared" si="452"/>
        <v>0</v>
      </c>
      <c r="S266" s="147">
        <f t="shared" si="453"/>
        <v>0</v>
      </c>
      <c r="T266" s="200" t="str">
        <f t="shared" si="454"/>
        <v>B</v>
      </c>
      <c r="U266" s="214">
        <v>1</v>
      </c>
      <c r="V266" s="214">
        <v>1</v>
      </c>
      <c r="W266" s="214">
        <v>1</v>
      </c>
      <c r="X266" s="214">
        <v>1</v>
      </c>
      <c r="Y266" s="142"/>
      <c r="Z266" s="149">
        <f t="shared" si="445"/>
        <v>1841.8400000000001</v>
      </c>
      <c r="AA266" s="150">
        <f t="shared" si="446"/>
        <v>4.6804404705882359</v>
      </c>
      <c r="AE266" s="582">
        <f t="shared" si="447"/>
        <v>0</v>
      </c>
      <c r="AF266" s="582">
        <f t="shared" si="448"/>
        <v>17.71</v>
      </c>
    </row>
    <row r="267" spans="2:32" ht="18" customHeight="1">
      <c r="B267" s="142" t="s">
        <v>454</v>
      </c>
      <c r="C267" s="221" t="s">
        <v>182</v>
      </c>
      <c r="D267" s="143">
        <v>1</v>
      </c>
      <c r="E267" s="51">
        <v>107</v>
      </c>
      <c r="F267" s="51" t="s">
        <v>465</v>
      </c>
      <c r="G267" s="63" t="s">
        <v>271</v>
      </c>
      <c r="H267" s="51" t="s">
        <v>455</v>
      </c>
      <c r="I267" s="51">
        <v>5.8</v>
      </c>
      <c r="J267" s="213">
        <v>3255</v>
      </c>
      <c r="K267" s="146">
        <f t="shared" si="449"/>
        <v>255</v>
      </c>
      <c r="L267" s="147">
        <f t="shared" si="1"/>
        <v>2.1692</v>
      </c>
      <c r="M267" s="147">
        <f t="shared" si="2"/>
        <v>0</v>
      </c>
      <c r="N267" s="147">
        <f t="shared" si="3"/>
        <v>0</v>
      </c>
      <c r="O267" s="147">
        <f t="shared" si="4"/>
        <v>0</v>
      </c>
      <c r="P267" s="148">
        <f t="shared" si="450"/>
        <v>0.374</v>
      </c>
      <c r="Q267" s="147">
        <f t="shared" si="451"/>
        <v>0</v>
      </c>
      <c r="R267" s="147">
        <f t="shared" si="452"/>
        <v>0</v>
      </c>
      <c r="S267" s="147">
        <f t="shared" si="453"/>
        <v>0</v>
      </c>
      <c r="T267" s="200" t="str">
        <f t="shared" si="454"/>
        <v>V</v>
      </c>
      <c r="U267" s="214">
        <v>1</v>
      </c>
      <c r="V267" s="214">
        <v>1</v>
      </c>
      <c r="W267" s="214">
        <v>1</v>
      </c>
      <c r="X267" s="214">
        <v>1</v>
      </c>
      <c r="Y267" s="142"/>
      <c r="Z267" s="149">
        <f t="shared" si="445"/>
        <v>1479</v>
      </c>
      <c r="AA267" s="150">
        <f t="shared" si="446"/>
        <v>2.1692</v>
      </c>
      <c r="AE267" s="582">
        <f t="shared" si="447"/>
        <v>0</v>
      </c>
      <c r="AF267" s="582">
        <f t="shared" si="448"/>
        <v>0</v>
      </c>
    </row>
    <row r="268" spans="2:32" ht="18" customHeight="1">
      <c r="B268" s="142" t="s">
        <v>454</v>
      </c>
      <c r="C268" s="221" t="s">
        <v>182</v>
      </c>
      <c r="D268" s="143">
        <v>1</v>
      </c>
      <c r="E268" s="51">
        <v>108</v>
      </c>
      <c r="F268" s="51" t="s">
        <v>265</v>
      </c>
      <c r="G268" s="63" t="s">
        <v>266</v>
      </c>
      <c r="H268" s="51" t="s">
        <v>276</v>
      </c>
      <c r="I268" s="51">
        <v>8.1199999999999992</v>
      </c>
      <c r="J268" s="213">
        <v>2255</v>
      </c>
      <c r="K268" s="146">
        <f t="shared" si="449"/>
        <v>255</v>
      </c>
      <c r="L268" s="147">
        <f t="shared" si="1"/>
        <v>26.048959999999997</v>
      </c>
      <c r="M268" s="147">
        <f t="shared" si="2"/>
        <v>0</v>
      </c>
      <c r="N268" s="147">
        <f t="shared" si="3"/>
        <v>0</v>
      </c>
      <c r="O268" s="147">
        <f t="shared" si="4"/>
        <v>0</v>
      </c>
      <c r="P268" s="148">
        <f t="shared" si="450"/>
        <v>3.2080000000000002</v>
      </c>
      <c r="Q268" s="147">
        <f t="shared" si="451"/>
        <v>0</v>
      </c>
      <c r="R268" s="147">
        <f t="shared" si="452"/>
        <v>0</v>
      </c>
      <c r="S268" s="147">
        <f t="shared" si="453"/>
        <v>0</v>
      </c>
      <c r="T268" s="200" t="str">
        <f t="shared" si="454"/>
        <v>S</v>
      </c>
      <c r="U268" s="214">
        <v>1</v>
      </c>
      <c r="V268" s="214">
        <v>1</v>
      </c>
      <c r="W268" s="214">
        <v>1</v>
      </c>
      <c r="X268" s="214">
        <v>1</v>
      </c>
      <c r="Y268" s="142"/>
      <c r="Z268" s="149">
        <f t="shared" si="445"/>
        <v>2070.6</v>
      </c>
      <c r="AA268" s="150">
        <f t="shared" si="446"/>
        <v>26.048959999999997</v>
      </c>
      <c r="AE268" s="582">
        <f t="shared" si="447"/>
        <v>0</v>
      </c>
      <c r="AF268" s="582">
        <f t="shared" si="448"/>
        <v>0</v>
      </c>
    </row>
    <row r="269" spans="2:32" ht="18" customHeight="1">
      <c r="B269" s="142" t="s">
        <v>454</v>
      </c>
      <c r="C269" s="221" t="s">
        <v>182</v>
      </c>
      <c r="D269" s="143">
        <v>1</v>
      </c>
      <c r="E269" s="51">
        <v>109</v>
      </c>
      <c r="F269" s="51" t="s">
        <v>370</v>
      </c>
      <c r="G269" s="63" t="s">
        <v>271</v>
      </c>
      <c r="H269" s="51" t="s">
        <v>455</v>
      </c>
      <c r="I269" s="51">
        <v>5.12</v>
      </c>
      <c r="J269" s="213">
        <v>6255</v>
      </c>
      <c r="K269" s="146">
        <f t="shared" si="449"/>
        <v>255</v>
      </c>
      <c r="L269" s="147">
        <f t="shared" si="1"/>
        <v>5.7548800000000009</v>
      </c>
      <c r="M269" s="147">
        <f t="shared" si="2"/>
        <v>0</v>
      </c>
      <c r="N269" s="147">
        <f t="shared" si="3"/>
        <v>0</v>
      </c>
      <c r="O269" s="147">
        <f t="shared" si="4"/>
        <v>0</v>
      </c>
      <c r="P269" s="148">
        <f t="shared" si="450"/>
        <v>1.1240000000000001</v>
      </c>
      <c r="Q269" s="147">
        <f t="shared" si="451"/>
        <v>0</v>
      </c>
      <c r="R269" s="147">
        <f t="shared" si="452"/>
        <v>0</v>
      </c>
      <c r="S269" s="147">
        <f t="shared" si="453"/>
        <v>0</v>
      </c>
      <c r="T269" s="200" t="str">
        <f t="shared" si="454"/>
        <v>V</v>
      </c>
      <c r="U269" s="214">
        <v>1</v>
      </c>
      <c r="V269" s="214">
        <v>1</v>
      </c>
      <c r="W269" s="214">
        <v>1</v>
      </c>
      <c r="X269" s="214">
        <v>1</v>
      </c>
      <c r="Y269" s="142"/>
      <c r="Z269" s="149">
        <f t="shared" si="445"/>
        <v>1305.6000000000001</v>
      </c>
      <c r="AA269" s="150">
        <f t="shared" si="446"/>
        <v>5.7548800000000009</v>
      </c>
      <c r="AE269" s="582">
        <f t="shared" si="447"/>
        <v>0</v>
      </c>
      <c r="AF269" s="582">
        <f t="shared" si="448"/>
        <v>0</v>
      </c>
    </row>
    <row r="270" spans="2:32" ht="18" customHeight="1">
      <c r="B270" s="142" t="s">
        <v>454</v>
      </c>
      <c r="C270" s="221" t="s">
        <v>182</v>
      </c>
      <c r="D270" s="143">
        <v>2</v>
      </c>
      <c r="E270" s="51">
        <v>201</v>
      </c>
      <c r="F270" s="51" t="s">
        <v>420</v>
      </c>
      <c r="G270" s="63" t="s">
        <v>271</v>
      </c>
      <c r="H270" s="51" t="s">
        <v>455</v>
      </c>
      <c r="I270" s="51">
        <v>2.93</v>
      </c>
      <c r="J270" s="213">
        <v>3255</v>
      </c>
      <c r="K270" s="146">
        <f t="shared" si="449"/>
        <v>255</v>
      </c>
      <c r="L270" s="147">
        <f t="shared" si="1"/>
        <v>1.09582</v>
      </c>
      <c r="M270" s="147">
        <f t="shared" si="2"/>
        <v>0</v>
      </c>
      <c r="N270" s="147">
        <f t="shared" si="3"/>
        <v>0</v>
      </c>
      <c r="O270" s="147">
        <f t="shared" si="4"/>
        <v>0</v>
      </c>
      <c r="P270" s="148">
        <f t="shared" si="450"/>
        <v>0.374</v>
      </c>
      <c r="Q270" s="147">
        <f t="shared" si="451"/>
        <v>0</v>
      </c>
      <c r="R270" s="147">
        <f t="shared" si="452"/>
        <v>0</v>
      </c>
      <c r="S270" s="147">
        <f t="shared" si="453"/>
        <v>0</v>
      </c>
      <c r="T270" s="200" t="str">
        <f t="shared" si="454"/>
        <v>V</v>
      </c>
      <c r="U270" s="214">
        <v>1</v>
      </c>
      <c r="V270" s="214">
        <v>1</v>
      </c>
      <c r="W270" s="214">
        <v>1</v>
      </c>
      <c r="X270" s="214">
        <v>1</v>
      </c>
      <c r="Y270" s="142"/>
      <c r="Z270" s="149">
        <f t="shared" si="445"/>
        <v>747.15000000000009</v>
      </c>
      <c r="AA270" s="150">
        <f t="shared" si="446"/>
        <v>1.09582</v>
      </c>
      <c r="AE270" s="582">
        <f t="shared" si="447"/>
        <v>0</v>
      </c>
      <c r="AF270" s="582">
        <f t="shared" si="448"/>
        <v>0</v>
      </c>
    </row>
    <row r="271" spans="2:32" ht="18" customHeight="1">
      <c r="B271" s="142" t="s">
        <v>454</v>
      </c>
      <c r="C271" s="221" t="s">
        <v>182</v>
      </c>
      <c r="D271" s="51">
        <v>2</v>
      </c>
      <c r="E271" s="210">
        <v>202</v>
      </c>
      <c r="F271" s="51" t="s">
        <v>274</v>
      </c>
      <c r="G271" s="63" t="s">
        <v>263</v>
      </c>
      <c r="H271" s="51" t="s">
        <v>76</v>
      </c>
      <c r="I271" s="51">
        <v>71.48</v>
      </c>
      <c r="J271" s="213">
        <v>15104</v>
      </c>
      <c r="K271" s="146">
        <f t="shared" si="449"/>
        <v>104</v>
      </c>
      <c r="L271" s="147">
        <f t="shared" si="1"/>
        <v>19.415649882352941</v>
      </c>
      <c r="M271" s="147">
        <f t="shared" si="2"/>
        <v>0</v>
      </c>
      <c r="N271" s="147">
        <f t="shared" si="3"/>
        <v>0</v>
      </c>
      <c r="O271" s="147">
        <f t="shared" si="4"/>
        <v>0</v>
      </c>
      <c r="P271" s="148">
        <f t="shared" si="450"/>
        <v>0.27162352941176471</v>
      </c>
      <c r="Q271" s="147">
        <f t="shared" si="451"/>
        <v>0</v>
      </c>
      <c r="R271" s="147">
        <f t="shared" si="452"/>
        <v>0</v>
      </c>
      <c r="S271" s="147">
        <f t="shared" si="453"/>
        <v>0</v>
      </c>
      <c r="T271" s="200" t="str">
        <f t="shared" si="454"/>
        <v>B</v>
      </c>
      <c r="U271" s="214">
        <v>1</v>
      </c>
      <c r="V271" s="214">
        <v>1</v>
      </c>
      <c r="W271" s="214">
        <v>1</v>
      </c>
      <c r="X271" s="214">
        <v>1</v>
      </c>
      <c r="Y271" s="142"/>
      <c r="Z271" s="149">
        <f t="shared" si="445"/>
        <v>7433.92</v>
      </c>
      <c r="AA271" s="150">
        <f t="shared" si="446"/>
        <v>19.415649882352941</v>
      </c>
      <c r="AE271" s="582">
        <f t="shared" si="447"/>
        <v>0</v>
      </c>
      <c r="AF271" s="582">
        <f t="shared" si="448"/>
        <v>71.48</v>
      </c>
    </row>
    <row r="272" spans="2:32" ht="18" customHeight="1">
      <c r="B272" s="142" t="s">
        <v>454</v>
      </c>
      <c r="C272" s="221" t="s">
        <v>182</v>
      </c>
      <c r="D272" s="222">
        <v>0</v>
      </c>
      <c r="E272" s="210">
        <v>301</v>
      </c>
      <c r="F272" s="51" t="s">
        <v>466</v>
      </c>
      <c r="G272" s="63" t="s">
        <v>263</v>
      </c>
      <c r="H272" s="51" t="s">
        <v>401</v>
      </c>
      <c r="I272" s="51">
        <v>15.1</v>
      </c>
      <c r="J272" s="213">
        <v>1104</v>
      </c>
      <c r="K272" s="146">
        <f t="shared" si="449"/>
        <v>104</v>
      </c>
      <c r="L272" s="147">
        <f t="shared" si="1"/>
        <v>3.9906635294117647</v>
      </c>
      <c r="M272" s="147">
        <f t="shared" si="2"/>
        <v>0</v>
      </c>
      <c r="N272" s="147">
        <f t="shared" si="3"/>
        <v>0</v>
      </c>
      <c r="O272" s="147">
        <f t="shared" si="4"/>
        <v>0</v>
      </c>
      <c r="P272" s="148">
        <f t="shared" si="450"/>
        <v>0.26428235294117647</v>
      </c>
      <c r="Q272" s="147">
        <f t="shared" si="451"/>
        <v>0</v>
      </c>
      <c r="R272" s="147">
        <f t="shared" si="452"/>
        <v>0</v>
      </c>
      <c r="S272" s="147">
        <f t="shared" si="453"/>
        <v>0</v>
      </c>
      <c r="T272" s="200" t="str">
        <f t="shared" si="454"/>
        <v>B</v>
      </c>
      <c r="U272" s="214">
        <v>1</v>
      </c>
      <c r="V272" s="214">
        <v>1</v>
      </c>
      <c r="W272" s="214">
        <v>1</v>
      </c>
      <c r="X272" s="214">
        <v>1</v>
      </c>
      <c r="Y272" s="142"/>
      <c r="Z272" s="149">
        <f t="shared" si="445"/>
        <v>1570.3999999999999</v>
      </c>
      <c r="AA272" s="150">
        <f t="shared" si="446"/>
        <v>3.9906635294117647</v>
      </c>
      <c r="AE272" s="582">
        <f t="shared" si="447"/>
        <v>0</v>
      </c>
      <c r="AF272" s="582">
        <f t="shared" si="448"/>
        <v>0</v>
      </c>
    </row>
    <row r="273" spans="2:32" ht="18" customHeight="1">
      <c r="B273" s="142" t="s">
        <v>454</v>
      </c>
      <c r="C273" s="221" t="s">
        <v>182</v>
      </c>
      <c r="D273" s="222">
        <v>0</v>
      </c>
      <c r="E273" s="210">
        <v>302</v>
      </c>
      <c r="F273" s="51" t="s">
        <v>467</v>
      </c>
      <c r="G273" s="63" t="s">
        <v>266</v>
      </c>
      <c r="H273" s="51" t="s">
        <v>401</v>
      </c>
      <c r="I273" s="51">
        <v>1.1599999999999999</v>
      </c>
      <c r="J273" s="213">
        <v>2255</v>
      </c>
      <c r="K273" s="146">
        <f t="shared" si="449"/>
        <v>255</v>
      </c>
      <c r="L273" s="147">
        <f t="shared" si="1"/>
        <v>3.7212800000000001</v>
      </c>
      <c r="M273" s="147">
        <f t="shared" si="2"/>
        <v>0</v>
      </c>
      <c r="N273" s="147">
        <f t="shared" si="3"/>
        <v>0</v>
      </c>
      <c r="O273" s="147">
        <f t="shared" si="4"/>
        <v>0</v>
      </c>
      <c r="P273" s="148">
        <f t="shared" si="450"/>
        <v>3.2080000000000002</v>
      </c>
      <c r="Q273" s="147">
        <f t="shared" si="451"/>
        <v>0</v>
      </c>
      <c r="R273" s="147">
        <f t="shared" si="452"/>
        <v>0</v>
      </c>
      <c r="S273" s="147">
        <f t="shared" si="453"/>
        <v>0</v>
      </c>
      <c r="T273" s="200" t="str">
        <f t="shared" si="454"/>
        <v>S</v>
      </c>
      <c r="U273" s="214">
        <v>1</v>
      </c>
      <c r="V273" s="214">
        <v>1</v>
      </c>
      <c r="W273" s="214">
        <v>1</v>
      </c>
      <c r="X273" s="214">
        <v>1</v>
      </c>
      <c r="Y273" s="142"/>
      <c r="Z273" s="149">
        <f t="shared" si="445"/>
        <v>295.79999999999995</v>
      </c>
      <c r="AA273" s="150">
        <f t="shared" si="446"/>
        <v>3.7212800000000001</v>
      </c>
      <c r="AE273" s="582">
        <f t="shared" si="447"/>
        <v>0</v>
      </c>
      <c r="AF273" s="582">
        <f t="shared" si="448"/>
        <v>0</v>
      </c>
    </row>
    <row r="274" spans="2:32" ht="18" customHeight="1">
      <c r="B274" s="142" t="s">
        <v>468</v>
      </c>
      <c r="C274" s="221" t="s">
        <v>183</v>
      </c>
      <c r="D274" s="222">
        <v>0</v>
      </c>
      <c r="E274" s="210" t="s">
        <v>261</v>
      </c>
      <c r="F274" s="51" t="s">
        <v>469</v>
      </c>
      <c r="G274" s="63" t="s">
        <v>271</v>
      </c>
      <c r="H274" s="51" t="s">
        <v>470</v>
      </c>
      <c r="I274" s="51">
        <v>5.7469999999999999</v>
      </c>
      <c r="J274" s="213">
        <v>3255</v>
      </c>
      <c r="K274" s="146">
        <f t="shared" si="449"/>
        <v>255</v>
      </c>
      <c r="L274" s="147">
        <f t="shared" si="1"/>
        <v>2.149378</v>
      </c>
      <c r="M274" s="147">
        <f t="shared" si="2"/>
        <v>0</v>
      </c>
      <c r="N274" s="147">
        <f t="shared" si="3"/>
        <v>0</v>
      </c>
      <c r="O274" s="147">
        <f t="shared" si="4"/>
        <v>0</v>
      </c>
      <c r="P274" s="148">
        <f t="shared" si="450"/>
        <v>0.374</v>
      </c>
      <c r="Q274" s="147">
        <f t="shared" si="451"/>
        <v>0</v>
      </c>
      <c r="R274" s="147">
        <f t="shared" si="452"/>
        <v>0</v>
      </c>
      <c r="S274" s="147">
        <f t="shared" si="453"/>
        <v>0</v>
      </c>
      <c r="T274" s="200" t="str">
        <f t="shared" si="454"/>
        <v>V</v>
      </c>
      <c r="U274" s="214">
        <v>1</v>
      </c>
      <c r="V274" s="214">
        <v>1</v>
      </c>
      <c r="W274" s="214">
        <v>1</v>
      </c>
      <c r="X274" s="214">
        <v>1</v>
      </c>
      <c r="Y274" s="142"/>
      <c r="Z274" s="149">
        <f t="shared" si="445"/>
        <v>1465.4849999999999</v>
      </c>
      <c r="AA274" s="150">
        <f t="shared" si="446"/>
        <v>2.149378</v>
      </c>
      <c r="AE274" s="582">
        <f t="shared" si="447"/>
        <v>0</v>
      </c>
      <c r="AF274" s="582">
        <f t="shared" si="448"/>
        <v>0</v>
      </c>
    </row>
    <row r="275" spans="2:32" ht="18" customHeight="1">
      <c r="B275" s="142" t="s">
        <v>468</v>
      </c>
      <c r="C275" s="221" t="s">
        <v>183</v>
      </c>
      <c r="D275" s="222">
        <v>0</v>
      </c>
      <c r="E275" s="210" t="s">
        <v>264</v>
      </c>
      <c r="F275" s="51" t="s">
        <v>471</v>
      </c>
      <c r="G275" s="63" t="s">
        <v>271</v>
      </c>
      <c r="H275" s="51" t="s">
        <v>470</v>
      </c>
      <c r="I275" s="51">
        <v>5.7469999999999999</v>
      </c>
      <c r="J275" s="213">
        <v>6255</v>
      </c>
      <c r="K275" s="146">
        <f t="shared" si="449"/>
        <v>255</v>
      </c>
      <c r="L275" s="147">
        <f t="shared" si="1"/>
        <v>6.4596280000000004</v>
      </c>
      <c r="M275" s="147">
        <f t="shared" si="2"/>
        <v>0</v>
      </c>
      <c r="N275" s="147">
        <f t="shared" si="3"/>
        <v>0</v>
      </c>
      <c r="O275" s="147">
        <f t="shared" si="4"/>
        <v>0</v>
      </c>
      <c r="P275" s="148">
        <f t="shared" si="450"/>
        <v>1.1240000000000001</v>
      </c>
      <c r="Q275" s="147">
        <f t="shared" si="451"/>
        <v>0</v>
      </c>
      <c r="R275" s="147">
        <f t="shared" si="452"/>
        <v>0</v>
      </c>
      <c r="S275" s="147">
        <f t="shared" si="453"/>
        <v>0</v>
      </c>
      <c r="T275" s="200" t="str">
        <f t="shared" si="454"/>
        <v>V</v>
      </c>
      <c r="U275" s="214">
        <v>1</v>
      </c>
      <c r="V275" s="214">
        <v>1</v>
      </c>
      <c r="W275" s="214">
        <v>1</v>
      </c>
      <c r="X275" s="214">
        <v>1</v>
      </c>
      <c r="Y275" s="142"/>
      <c r="Z275" s="149">
        <f t="shared" si="445"/>
        <v>1465.4849999999999</v>
      </c>
      <c r="AA275" s="150">
        <f t="shared" si="446"/>
        <v>6.4596280000000004</v>
      </c>
      <c r="AE275" s="582">
        <f t="shared" si="447"/>
        <v>0</v>
      </c>
      <c r="AF275" s="582">
        <f t="shared" si="448"/>
        <v>0</v>
      </c>
    </row>
    <row r="276" spans="2:32" ht="18" customHeight="1">
      <c r="B276" s="142" t="s">
        <v>468</v>
      </c>
      <c r="C276" s="221" t="s">
        <v>183</v>
      </c>
      <c r="D276" s="222">
        <v>0</v>
      </c>
      <c r="E276" s="210" t="s">
        <v>268</v>
      </c>
      <c r="F276" s="51" t="s">
        <v>363</v>
      </c>
      <c r="G276" s="63" t="s">
        <v>266</v>
      </c>
      <c r="H276" s="51" t="s">
        <v>470</v>
      </c>
      <c r="I276" s="51">
        <v>1.5</v>
      </c>
      <c r="J276" s="213">
        <v>2255</v>
      </c>
      <c r="K276" s="146">
        <f t="shared" si="449"/>
        <v>255</v>
      </c>
      <c r="L276" s="147">
        <f t="shared" si="1"/>
        <v>4.8120000000000003</v>
      </c>
      <c r="M276" s="147">
        <f t="shared" si="2"/>
        <v>0</v>
      </c>
      <c r="N276" s="147">
        <f t="shared" si="3"/>
        <v>0</v>
      </c>
      <c r="O276" s="147">
        <f t="shared" si="4"/>
        <v>0</v>
      </c>
      <c r="P276" s="148">
        <f t="shared" si="450"/>
        <v>3.2080000000000002</v>
      </c>
      <c r="Q276" s="147">
        <f t="shared" si="451"/>
        <v>0</v>
      </c>
      <c r="R276" s="147">
        <f t="shared" si="452"/>
        <v>0</v>
      </c>
      <c r="S276" s="147">
        <f t="shared" si="453"/>
        <v>0</v>
      </c>
      <c r="T276" s="200" t="str">
        <f t="shared" si="454"/>
        <v>S</v>
      </c>
      <c r="U276" s="214">
        <v>1</v>
      </c>
      <c r="V276" s="214">
        <v>1</v>
      </c>
      <c r="W276" s="214">
        <v>1</v>
      </c>
      <c r="X276" s="214">
        <v>1</v>
      </c>
      <c r="Y276" s="142"/>
      <c r="Z276" s="149">
        <f t="shared" si="445"/>
        <v>382.5</v>
      </c>
      <c r="AA276" s="150">
        <f t="shared" si="446"/>
        <v>4.8120000000000003</v>
      </c>
      <c r="AE276" s="582">
        <f t="shared" si="447"/>
        <v>0</v>
      </c>
      <c r="AF276" s="582">
        <f t="shared" si="448"/>
        <v>0</v>
      </c>
    </row>
    <row r="277" spans="2:32" ht="18" customHeight="1">
      <c r="B277" s="142" t="s">
        <v>468</v>
      </c>
      <c r="C277" s="221" t="s">
        <v>184</v>
      </c>
      <c r="D277" s="222">
        <v>0</v>
      </c>
      <c r="E277" s="210" t="s">
        <v>261</v>
      </c>
      <c r="F277" s="51" t="s">
        <v>144</v>
      </c>
      <c r="G277" s="63" t="s">
        <v>271</v>
      </c>
      <c r="H277" s="51" t="s">
        <v>321</v>
      </c>
      <c r="I277" s="51">
        <v>18.260000000000002</v>
      </c>
      <c r="J277" s="213">
        <v>8255</v>
      </c>
      <c r="K277" s="146">
        <f t="shared" si="449"/>
        <v>255</v>
      </c>
      <c r="L277" s="147">
        <f t="shared" si="1"/>
        <v>36.520000000000003</v>
      </c>
      <c r="M277" s="147">
        <f t="shared" si="2"/>
        <v>0</v>
      </c>
      <c r="N277" s="147">
        <f t="shared" si="3"/>
        <v>0</v>
      </c>
      <c r="O277" s="147">
        <f t="shared" si="4"/>
        <v>0</v>
      </c>
      <c r="P277" s="148">
        <f t="shared" si="450"/>
        <v>2</v>
      </c>
      <c r="Q277" s="147">
        <f t="shared" si="451"/>
        <v>0</v>
      </c>
      <c r="R277" s="147">
        <f t="shared" si="452"/>
        <v>0</v>
      </c>
      <c r="S277" s="147">
        <f t="shared" si="453"/>
        <v>0</v>
      </c>
      <c r="T277" s="200" t="str">
        <f t="shared" si="454"/>
        <v>V</v>
      </c>
      <c r="U277" s="214">
        <v>1</v>
      </c>
      <c r="V277" s="214">
        <v>1</v>
      </c>
      <c r="W277" s="214">
        <v>1</v>
      </c>
      <c r="X277" s="214">
        <v>1</v>
      </c>
      <c r="Y277" s="142"/>
      <c r="Z277" s="149">
        <f t="shared" si="445"/>
        <v>4656.3</v>
      </c>
      <c r="AA277" s="150">
        <f t="shared" si="446"/>
        <v>36.520000000000003</v>
      </c>
      <c r="AE277" s="582">
        <f t="shared" si="447"/>
        <v>0</v>
      </c>
      <c r="AF277" s="582">
        <f t="shared" si="448"/>
        <v>0</v>
      </c>
    </row>
    <row r="278" spans="2:32" ht="18" customHeight="1">
      <c r="B278" s="142" t="s">
        <v>468</v>
      </c>
      <c r="C278" s="221" t="s">
        <v>184</v>
      </c>
      <c r="D278" s="222">
        <v>0</v>
      </c>
      <c r="E278" s="210" t="s">
        <v>264</v>
      </c>
      <c r="F278" s="51" t="s">
        <v>472</v>
      </c>
      <c r="G278" s="63" t="s">
        <v>271</v>
      </c>
      <c r="H278" s="51" t="s">
        <v>378</v>
      </c>
      <c r="I278" s="51">
        <v>34</v>
      </c>
      <c r="J278" s="213">
        <v>11255</v>
      </c>
      <c r="K278" s="146">
        <f t="shared" si="449"/>
        <v>255</v>
      </c>
      <c r="L278" s="147">
        <f t="shared" si="1"/>
        <v>43.655999999999999</v>
      </c>
      <c r="M278" s="147">
        <f t="shared" si="2"/>
        <v>0</v>
      </c>
      <c r="N278" s="147">
        <f t="shared" si="3"/>
        <v>0</v>
      </c>
      <c r="O278" s="147">
        <f t="shared" si="4"/>
        <v>0</v>
      </c>
      <c r="P278" s="148">
        <f t="shared" si="450"/>
        <v>1.284</v>
      </c>
      <c r="Q278" s="147">
        <f t="shared" si="451"/>
        <v>0</v>
      </c>
      <c r="R278" s="147">
        <f t="shared" si="452"/>
        <v>0</v>
      </c>
      <c r="S278" s="147">
        <f t="shared" si="453"/>
        <v>0</v>
      </c>
      <c r="T278" s="200" t="str">
        <f t="shared" si="454"/>
        <v>S</v>
      </c>
      <c r="U278" s="214">
        <v>1</v>
      </c>
      <c r="V278" s="214">
        <v>1</v>
      </c>
      <c r="W278" s="214">
        <v>1</v>
      </c>
      <c r="X278" s="214">
        <v>1</v>
      </c>
      <c r="Y278" s="142"/>
      <c r="Z278" s="149">
        <f t="shared" si="445"/>
        <v>8670</v>
      </c>
      <c r="AA278" s="150">
        <f t="shared" si="446"/>
        <v>43.655999999999999</v>
      </c>
      <c r="AE278" s="582">
        <f t="shared" si="447"/>
        <v>0</v>
      </c>
      <c r="AF278" s="582">
        <f t="shared" si="448"/>
        <v>0</v>
      </c>
    </row>
    <row r="279" spans="2:32" ht="18" customHeight="1">
      <c r="B279" s="142" t="s">
        <v>468</v>
      </c>
      <c r="C279" s="221" t="s">
        <v>184</v>
      </c>
      <c r="D279" s="222">
        <v>0</v>
      </c>
      <c r="E279" s="210" t="s">
        <v>268</v>
      </c>
      <c r="F279" s="51" t="s">
        <v>451</v>
      </c>
      <c r="G279" s="63" t="s">
        <v>266</v>
      </c>
      <c r="H279" s="51" t="s">
        <v>473</v>
      </c>
      <c r="I279" s="51">
        <v>13.02</v>
      </c>
      <c r="J279" s="213">
        <v>2255</v>
      </c>
      <c r="K279" s="146">
        <f t="shared" si="449"/>
        <v>255</v>
      </c>
      <c r="L279" s="147">
        <f t="shared" si="1"/>
        <v>41.768160000000002</v>
      </c>
      <c r="M279" s="147">
        <f t="shared" si="2"/>
        <v>0</v>
      </c>
      <c r="N279" s="147">
        <f t="shared" si="3"/>
        <v>0</v>
      </c>
      <c r="O279" s="147">
        <f t="shared" si="4"/>
        <v>0</v>
      </c>
      <c r="P279" s="148">
        <f t="shared" si="450"/>
        <v>3.2080000000000002</v>
      </c>
      <c r="Q279" s="147">
        <f t="shared" si="451"/>
        <v>0</v>
      </c>
      <c r="R279" s="147">
        <f t="shared" si="452"/>
        <v>0</v>
      </c>
      <c r="S279" s="147">
        <f t="shared" si="453"/>
        <v>0</v>
      </c>
      <c r="T279" s="200" t="str">
        <f t="shared" si="454"/>
        <v>S</v>
      </c>
      <c r="U279" s="214">
        <v>1</v>
      </c>
      <c r="V279" s="214">
        <v>1</v>
      </c>
      <c r="W279" s="214">
        <v>1</v>
      </c>
      <c r="X279" s="214">
        <v>1</v>
      </c>
      <c r="Y279" s="142"/>
      <c r="Z279" s="149">
        <f t="shared" si="445"/>
        <v>3320.1</v>
      </c>
      <c r="AA279" s="150">
        <f t="shared" si="446"/>
        <v>41.768160000000002</v>
      </c>
      <c r="AE279" s="582">
        <f t="shared" si="447"/>
        <v>0</v>
      </c>
      <c r="AF279" s="582">
        <f t="shared" si="448"/>
        <v>0</v>
      </c>
    </row>
    <row r="280" spans="2:32" ht="18" customHeight="1">
      <c r="B280" s="142" t="s">
        <v>468</v>
      </c>
      <c r="C280" s="221" t="s">
        <v>184</v>
      </c>
      <c r="D280" s="222">
        <v>0</v>
      </c>
      <c r="E280" s="210" t="s">
        <v>474</v>
      </c>
      <c r="F280" s="51" t="s">
        <v>475</v>
      </c>
      <c r="G280" s="63" t="s">
        <v>266</v>
      </c>
      <c r="H280" s="51" t="s">
        <v>476</v>
      </c>
      <c r="I280" s="51">
        <v>3.8</v>
      </c>
      <c r="J280" s="213">
        <v>2255</v>
      </c>
      <c r="K280" s="146">
        <f t="shared" si="449"/>
        <v>255</v>
      </c>
      <c r="L280" s="147">
        <f t="shared" si="1"/>
        <v>12.1904</v>
      </c>
      <c r="M280" s="147">
        <f t="shared" si="2"/>
        <v>0</v>
      </c>
      <c r="N280" s="147">
        <f t="shared" si="3"/>
        <v>0</v>
      </c>
      <c r="O280" s="147">
        <f t="shared" si="4"/>
        <v>0</v>
      </c>
      <c r="P280" s="148">
        <f t="shared" si="450"/>
        <v>3.2080000000000002</v>
      </c>
      <c r="Q280" s="147">
        <f t="shared" si="451"/>
        <v>0</v>
      </c>
      <c r="R280" s="147">
        <f t="shared" si="452"/>
        <v>0</v>
      </c>
      <c r="S280" s="147">
        <f t="shared" si="453"/>
        <v>0</v>
      </c>
      <c r="T280" s="200" t="str">
        <f t="shared" si="454"/>
        <v>S</v>
      </c>
      <c r="U280" s="214">
        <v>1</v>
      </c>
      <c r="V280" s="214">
        <v>1</v>
      </c>
      <c r="W280" s="214">
        <v>1</v>
      </c>
      <c r="X280" s="214">
        <v>1</v>
      </c>
      <c r="Y280" s="142"/>
      <c r="Z280" s="149">
        <f t="shared" si="445"/>
        <v>969</v>
      </c>
      <c r="AA280" s="150">
        <f t="shared" si="446"/>
        <v>12.1904</v>
      </c>
      <c r="AE280" s="582">
        <f t="shared" si="447"/>
        <v>0</v>
      </c>
      <c r="AF280" s="582">
        <f t="shared" si="448"/>
        <v>0</v>
      </c>
    </row>
    <row r="281" spans="2:32" ht="18" customHeight="1">
      <c r="B281" s="142" t="s">
        <v>468</v>
      </c>
      <c r="C281" s="221" t="s">
        <v>184</v>
      </c>
      <c r="D281" s="222">
        <v>0</v>
      </c>
      <c r="E281" s="210" t="s">
        <v>477</v>
      </c>
      <c r="F281" s="51" t="s">
        <v>478</v>
      </c>
      <c r="G281" s="63" t="s">
        <v>271</v>
      </c>
      <c r="H281" s="51" t="s">
        <v>378</v>
      </c>
      <c r="I281" s="51">
        <v>34</v>
      </c>
      <c r="J281" s="213">
        <v>11255</v>
      </c>
      <c r="K281" s="146">
        <f t="shared" si="449"/>
        <v>255</v>
      </c>
      <c r="L281" s="147">
        <f t="shared" si="1"/>
        <v>43.655999999999999</v>
      </c>
      <c r="M281" s="147">
        <f t="shared" si="2"/>
        <v>0</v>
      </c>
      <c r="N281" s="147">
        <f t="shared" si="3"/>
        <v>0</v>
      </c>
      <c r="O281" s="147">
        <f t="shared" si="4"/>
        <v>0</v>
      </c>
      <c r="P281" s="148">
        <f t="shared" si="450"/>
        <v>1.284</v>
      </c>
      <c r="Q281" s="147">
        <f t="shared" si="451"/>
        <v>0</v>
      </c>
      <c r="R281" s="147">
        <f t="shared" si="452"/>
        <v>0</v>
      </c>
      <c r="S281" s="147">
        <f t="shared" si="453"/>
        <v>0</v>
      </c>
      <c r="T281" s="200" t="str">
        <f t="shared" si="454"/>
        <v>S</v>
      </c>
      <c r="U281" s="214">
        <v>1</v>
      </c>
      <c r="V281" s="214">
        <v>1</v>
      </c>
      <c r="W281" s="214">
        <v>1</v>
      </c>
      <c r="X281" s="214">
        <v>1</v>
      </c>
      <c r="Y281" s="142"/>
      <c r="Z281" s="149">
        <f t="shared" si="445"/>
        <v>8670</v>
      </c>
      <c r="AA281" s="150">
        <f t="shared" si="446"/>
        <v>43.655999999999999</v>
      </c>
      <c r="AE281" s="582">
        <f t="shared" si="447"/>
        <v>0</v>
      </c>
      <c r="AF281" s="582">
        <f t="shared" si="448"/>
        <v>0</v>
      </c>
    </row>
    <row r="282" spans="2:32" ht="18" customHeight="1">
      <c r="B282" s="142" t="s">
        <v>468</v>
      </c>
      <c r="C282" s="221" t="s">
        <v>184</v>
      </c>
      <c r="D282" s="222">
        <v>0</v>
      </c>
      <c r="E282" s="210" t="s">
        <v>479</v>
      </c>
      <c r="F282" s="51" t="s">
        <v>451</v>
      </c>
      <c r="G282" s="63" t="s">
        <v>266</v>
      </c>
      <c r="H282" s="51" t="s">
        <v>473</v>
      </c>
      <c r="I282" s="51">
        <v>13.02</v>
      </c>
      <c r="J282" s="213">
        <v>2255</v>
      </c>
      <c r="K282" s="146">
        <f t="shared" si="449"/>
        <v>255</v>
      </c>
      <c r="L282" s="147">
        <f t="shared" si="1"/>
        <v>41.768160000000002</v>
      </c>
      <c r="M282" s="147">
        <f t="shared" si="2"/>
        <v>0</v>
      </c>
      <c r="N282" s="147">
        <f t="shared" si="3"/>
        <v>0</v>
      </c>
      <c r="O282" s="147">
        <f t="shared" si="4"/>
        <v>0</v>
      </c>
      <c r="P282" s="148">
        <f t="shared" si="450"/>
        <v>3.2080000000000002</v>
      </c>
      <c r="Q282" s="147">
        <f t="shared" si="451"/>
        <v>0</v>
      </c>
      <c r="R282" s="147">
        <f t="shared" si="452"/>
        <v>0</v>
      </c>
      <c r="S282" s="147">
        <f t="shared" si="453"/>
        <v>0</v>
      </c>
      <c r="T282" s="200" t="str">
        <f t="shared" si="454"/>
        <v>S</v>
      </c>
      <c r="U282" s="214">
        <v>1</v>
      </c>
      <c r="V282" s="214">
        <v>1</v>
      </c>
      <c r="W282" s="214">
        <v>1</v>
      </c>
      <c r="X282" s="214">
        <v>1</v>
      </c>
      <c r="Y282" s="142"/>
      <c r="Z282" s="149">
        <f t="shared" si="445"/>
        <v>3320.1</v>
      </c>
      <c r="AA282" s="150">
        <f t="shared" si="446"/>
        <v>41.768160000000002</v>
      </c>
      <c r="AE282" s="582">
        <f t="shared" si="447"/>
        <v>0</v>
      </c>
      <c r="AF282" s="582">
        <f t="shared" si="448"/>
        <v>0</v>
      </c>
    </row>
    <row r="283" spans="2:32" ht="18" customHeight="1">
      <c r="B283" s="142" t="s">
        <v>468</v>
      </c>
      <c r="C283" s="221" t="s">
        <v>184</v>
      </c>
      <c r="D283" s="222">
        <v>0</v>
      </c>
      <c r="E283" s="51" t="s">
        <v>480</v>
      </c>
      <c r="F283" s="51" t="s">
        <v>475</v>
      </c>
      <c r="G283" s="63" t="s">
        <v>266</v>
      </c>
      <c r="H283" s="51" t="s">
        <v>476</v>
      </c>
      <c r="I283" s="51">
        <v>3.8</v>
      </c>
      <c r="J283" s="213">
        <v>2255</v>
      </c>
      <c r="K283" s="146">
        <f t="shared" si="449"/>
        <v>255</v>
      </c>
      <c r="L283" s="147">
        <f t="shared" si="1"/>
        <v>12.1904</v>
      </c>
      <c r="M283" s="147">
        <f t="shared" si="2"/>
        <v>0</v>
      </c>
      <c r="N283" s="147">
        <f t="shared" si="3"/>
        <v>0</v>
      </c>
      <c r="O283" s="147">
        <f t="shared" si="4"/>
        <v>0</v>
      </c>
      <c r="P283" s="148">
        <f t="shared" si="450"/>
        <v>3.2080000000000002</v>
      </c>
      <c r="Q283" s="147">
        <f t="shared" si="451"/>
        <v>0</v>
      </c>
      <c r="R283" s="147">
        <f t="shared" si="452"/>
        <v>0</v>
      </c>
      <c r="S283" s="147">
        <f t="shared" si="453"/>
        <v>0</v>
      </c>
      <c r="T283" s="200" t="str">
        <f t="shared" si="454"/>
        <v>S</v>
      </c>
      <c r="U283" s="214">
        <v>1</v>
      </c>
      <c r="V283" s="214">
        <v>1</v>
      </c>
      <c r="W283" s="214">
        <v>1</v>
      </c>
      <c r="X283" s="214">
        <v>1</v>
      </c>
      <c r="Y283" s="142"/>
      <c r="Z283" s="149">
        <f t="shared" si="445"/>
        <v>969</v>
      </c>
      <c r="AA283" s="150">
        <f t="shared" si="446"/>
        <v>12.1904</v>
      </c>
      <c r="AE283" s="582">
        <f t="shared" si="447"/>
        <v>0</v>
      </c>
      <c r="AF283" s="582">
        <f t="shared" si="448"/>
        <v>0</v>
      </c>
    </row>
    <row r="284" spans="2:32" ht="18" customHeight="1">
      <c r="B284" s="142" t="s">
        <v>468</v>
      </c>
      <c r="C284" s="221" t="s">
        <v>184</v>
      </c>
      <c r="D284" s="222">
        <v>0</v>
      </c>
      <c r="E284" s="51" t="s">
        <v>481</v>
      </c>
      <c r="F284" s="51" t="s">
        <v>482</v>
      </c>
      <c r="G284" s="63" t="s">
        <v>271</v>
      </c>
      <c r="H284" s="51" t="s">
        <v>476</v>
      </c>
      <c r="I284" s="51">
        <v>5.41</v>
      </c>
      <c r="J284" s="213">
        <v>11205</v>
      </c>
      <c r="K284" s="146">
        <f t="shared" si="449"/>
        <v>205</v>
      </c>
      <c r="L284" s="147">
        <f t="shared" si="1"/>
        <v>5.863612588235295</v>
      </c>
      <c r="M284" s="147">
        <f t="shared" si="2"/>
        <v>0</v>
      </c>
      <c r="N284" s="147">
        <f t="shared" si="3"/>
        <v>0</v>
      </c>
      <c r="O284" s="147">
        <f t="shared" si="4"/>
        <v>0</v>
      </c>
      <c r="P284" s="148">
        <f t="shared" si="450"/>
        <v>1.0838470588235296</v>
      </c>
      <c r="Q284" s="147">
        <f t="shared" si="451"/>
        <v>0</v>
      </c>
      <c r="R284" s="147">
        <f t="shared" si="452"/>
        <v>0</v>
      </c>
      <c r="S284" s="147">
        <f t="shared" si="453"/>
        <v>0</v>
      </c>
      <c r="T284" s="200" t="str">
        <f t="shared" si="454"/>
        <v>S</v>
      </c>
      <c r="U284" s="214">
        <v>1</v>
      </c>
      <c r="V284" s="214">
        <v>1</v>
      </c>
      <c r="W284" s="214">
        <v>1</v>
      </c>
      <c r="X284" s="214">
        <v>1</v>
      </c>
      <c r="Y284" s="142"/>
      <c r="Z284" s="149">
        <f t="shared" si="445"/>
        <v>1109.05</v>
      </c>
      <c r="AA284" s="150">
        <f t="shared" si="446"/>
        <v>5.863612588235295</v>
      </c>
      <c r="AE284" s="582">
        <f t="shared" si="447"/>
        <v>0</v>
      </c>
      <c r="AF284" s="582">
        <f t="shared" si="448"/>
        <v>0</v>
      </c>
    </row>
    <row r="285" spans="2:32" ht="18" customHeight="1">
      <c r="B285" s="142" t="s">
        <v>468</v>
      </c>
      <c r="C285" s="221" t="s">
        <v>184</v>
      </c>
      <c r="D285" s="222">
        <v>0</v>
      </c>
      <c r="E285" s="210" t="s">
        <v>483</v>
      </c>
      <c r="F285" s="51" t="s">
        <v>484</v>
      </c>
      <c r="G285" s="63" t="s">
        <v>266</v>
      </c>
      <c r="H285" s="51" t="s">
        <v>476</v>
      </c>
      <c r="I285" s="51">
        <v>3.88</v>
      </c>
      <c r="J285" s="213">
        <v>2255</v>
      </c>
      <c r="K285" s="146">
        <f t="shared" ref="K285" si="455">SUM(IF(J285="",0,VLOOKUP(J285,Kengetal,2)))</f>
        <v>255</v>
      </c>
      <c r="L285" s="147">
        <f t="shared" ref="L285" si="456">P285*I285*U285</f>
        <v>12.447040000000001</v>
      </c>
      <c r="M285" s="147">
        <f t="shared" ref="M285" si="457">Q285*I285*V285</f>
        <v>0</v>
      </c>
      <c r="N285" s="147">
        <f t="shared" ref="N285" si="458">R285*I285*W285</f>
        <v>0</v>
      </c>
      <c r="O285" s="147">
        <f t="shared" ref="O285" si="459">S285*I285*X285</f>
        <v>0</v>
      </c>
      <c r="P285" s="148">
        <f t="shared" si="450"/>
        <v>3.2080000000000002</v>
      </c>
      <c r="Q285" s="147">
        <f t="shared" si="451"/>
        <v>0</v>
      </c>
      <c r="R285" s="147">
        <f t="shared" si="452"/>
        <v>0</v>
      </c>
      <c r="S285" s="147">
        <f t="shared" si="453"/>
        <v>0</v>
      </c>
      <c r="T285" s="200" t="str">
        <f t="shared" ref="T285" si="460">IF(J285="","",VLOOKUP(J285,Kengetal,13,FALSE))</f>
        <v>S</v>
      </c>
      <c r="U285" s="214">
        <v>1</v>
      </c>
      <c r="V285" s="214">
        <v>1</v>
      </c>
      <c r="W285" s="214">
        <v>1</v>
      </c>
      <c r="X285" s="214">
        <v>1</v>
      </c>
      <c r="Y285" s="142"/>
      <c r="Z285" s="149">
        <f t="shared" si="445"/>
        <v>989.4</v>
      </c>
      <c r="AA285" s="150">
        <f t="shared" si="446"/>
        <v>12.447040000000001</v>
      </c>
      <c r="AE285" s="582">
        <f t="shared" si="447"/>
        <v>0</v>
      </c>
      <c r="AF285" s="582">
        <f t="shared" si="448"/>
        <v>0</v>
      </c>
    </row>
    <row r="286" spans="2:32" ht="18" customHeight="1">
      <c r="B286" s="142" t="s">
        <v>468</v>
      </c>
      <c r="C286" s="221" t="s">
        <v>184</v>
      </c>
      <c r="D286" s="222">
        <v>0</v>
      </c>
      <c r="E286" s="210" t="s">
        <v>485</v>
      </c>
      <c r="F286" s="51" t="s">
        <v>160</v>
      </c>
      <c r="G286" s="63" t="s">
        <v>271</v>
      </c>
      <c r="H286" s="51" t="s">
        <v>486</v>
      </c>
      <c r="I286" s="51">
        <v>249</v>
      </c>
      <c r="J286" s="213">
        <v>19255</v>
      </c>
      <c r="K286" s="146">
        <f t="shared" ref="K286" si="461">SUM(IF(J286="",0,VLOOKUP(J286,Kengetal,2)))</f>
        <v>255</v>
      </c>
      <c r="L286" s="147">
        <f t="shared" ref="L286" si="462">P286*I286*U286</f>
        <v>86.402999999999992</v>
      </c>
      <c r="M286" s="147">
        <f t="shared" ref="M286" si="463">Q286*I286*V286</f>
        <v>0</v>
      </c>
      <c r="N286" s="147">
        <f t="shared" ref="N286" si="464">R286*I286*W286</f>
        <v>0</v>
      </c>
      <c r="O286" s="147">
        <f t="shared" ref="O286" si="465">S286*I286*X286</f>
        <v>0</v>
      </c>
      <c r="P286" s="148">
        <f t="shared" si="450"/>
        <v>0.34699999999999998</v>
      </c>
      <c r="Q286" s="147">
        <f t="shared" si="451"/>
        <v>0</v>
      </c>
      <c r="R286" s="147">
        <f t="shared" si="452"/>
        <v>0</v>
      </c>
      <c r="S286" s="147">
        <f t="shared" si="453"/>
        <v>0</v>
      </c>
      <c r="T286" s="200" t="str">
        <f t="shared" ref="T286" si="466">IF(J286="","",VLOOKUP(J286,Kengetal,13,FALSE))</f>
        <v>V</v>
      </c>
      <c r="U286" s="214">
        <v>1</v>
      </c>
      <c r="V286" s="214">
        <v>1</v>
      </c>
      <c r="W286" s="214">
        <v>1</v>
      </c>
      <c r="X286" s="214">
        <v>1</v>
      </c>
      <c r="Y286" s="142"/>
      <c r="Z286" s="149">
        <f t="shared" si="445"/>
        <v>63495</v>
      </c>
      <c r="AA286" s="150">
        <f t="shared" si="446"/>
        <v>86.402999999999992</v>
      </c>
      <c r="AE286" s="582">
        <f t="shared" si="447"/>
        <v>0</v>
      </c>
      <c r="AF286" s="582">
        <f t="shared" si="448"/>
        <v>0</v>
      </c>
    </row>
    <row r="287" spans="2:32" ht="18" customHeight="1">
      <c r="B287" s="142" t="s">
        <v>468</v>
      </c>
      <c r="C287" s="221" t="s">
        <v>184</v>
      </c>
      <c r="D287" s="222">
        <v>0</v>
      </c>
      <c r="E287" s="210" t="s">
        <v>487</v>
      </c>
      <c r="F287" s="51" t="s">
        <v>488</v>
      </c>
      <c r="G287" s="63" t="s">
        <v>271</v>
      </c>
      <c r="H287" s="51" t="s">
        <v>486</v>
      </c>
      <c r="I287" s="51">
        <v>50</v>
      </c>
      <c r="J287" s="213">
        <v>19255</v>
      </c>
      <c r="K287" s="146">
        <f t="shared" ref="K287" si="467">SUM(IF(J287="",0,VLOOKUP(J287,Kengetal,2)))</f>
        <v>255</v>
      </c>
      <c r="L287" s="147">
        <f t="shared" ref="L287" si="468">P287*I287*U287</f>
        <v>17.349999999999998</v>
      </c>
      <c r="M287" s="147">
        <f t="shared" ref="M287" si="469">Q287*I287*V287</f>
        <v>0</v>
      </c>
      <c r="N287" s="147">
        <f t="shared" ref="N287" si="470">R287*I287*W287</f>
        <v>0</v>
      </c>
      <c r="O287" s="147">
        <f t="shared" ref="O287" si="471">S287*I287*X287</f>
        <v>0</v>
      </c>
      <c r="P287" s="148">
        <f t="shared" si="450"/>
        <v>0.34699999999999998</v>
      </c>
      <c r="Q287" s="147">
        <f t="shared" si="451"/>
        <v>0</v>
      </c>
      <c r="R287" s="147">
        <f t="shared" si="452"/>
        <v>0</v>
      </c>
      <c r="S287" s="147">
        <f t="shared" si="453"/>
        <v>0</v>
      </c>
      <c r="T287" s="200" t="str">
        <f t="shared" ref="T287" si="472">IF(J287="","",VLOOKUP(J287,Kengetal,13,FALSE))</f>
        <v>V</v>
      </c>
      <c r="U287" s="214">
        <v>1</v>
      </c>
      <c r="V287" s="214">
        <v>1</v>
      </c>
      <c r="W287" s="214">
        <v>1</v>
      </c>
      <c r="X287" s="214">
        <v>1</v>
      </c>
      <c r="Y287" s="142"/>
      <c r="Z287" s="149">
        <f t="shared" si="445"/>
        <v>12750</v>
      </c>
      <c r="AA287" s="150">
        <f t="shared" si="446"/>
        <v>17.349999999999998</v>
      </c>
      <c r="AE287" s="582">
        <f t="shared" si="447"/>
        <v>0</v>
      </c>
      <c r="AF287" s="582">
        <f t="shared" si="448"/>
        <v>0</v>
      </c>
    </row>
    <row r="288" spans="2:32" ht="18" customHeight="1">
      <c r="B288" s="142" t="s">
        <v>489</v>
      </c>
      <c r="C288" s="221" t="s">
        <v>185</v>
      </c>
      <c r="D288" s="222">
        <v>0</v>
      </c>
      <c r="E288" s="210" t="s">
        <v>261</v>
      </c>
      <c r="F288" s="51" t="s">
        <v>353</v>
      </c>
      <c r="G288" s="63" t="s">
        <v>271</v>
      </c>
      <c r="H288" s="51" t="s">
        <v>418</v>
      </c>
      <c r="I288" s="51">
        <v>12.3</v>
      </c>
      <c r="J288" s="213">
        <v>3205</v>
      </c>
      <c r="K288" s="146">
        <f t="shared" ref="K288" si="473">SUM(IF(J288="",0,VLOOKUP(J288,Kengetal,2)))</f>
        <v>205</v>
      </c>
      <c r="L288" s="147">
        <f t="shared" ref="L288" si="474">P288*I288*U288</f>
        <v>3.8831100000000007</v>
      </c>
      <c r="M288" s="147">
        <f t="shared" ref="M288" si="475">Q288*I288*V288</f>
        <v>0</v>
      </c>
      <c r="N288" s="147">
        <f t="shared" ref="N288" si="476">R288*I288*W288</f>
        <v>0</v>
      </c>
      <c r="O288" s="147">
        <f t="shared" ref="O288" si="477">S288*I288*X288</f>
        <v>0</v>
      </c>
      <c r="P288" s="148">
        <f t="shared" si="450"/>
        <v>0.31570000000000004</v>
      </c>
      <c r="Q288" s="147">
        <f t="shared" si="451"/>
        <v>0</v>
      </c>
      <c r="R288" s="147">
        <f t="shared" si="452"/>
        <v>0</v>
      </c>
      <c r="S288" s="147">
        <f t="shared" si="453"/>
        <v>0</v>
      </c>
      <c r="T288" s="200" t="str">
        <f t="shared" ref="T288" si="478">IF(J288="","",VLOOKUP(J288,Kengetal,13,FALSE))</f>
        <v>V</v>
      </c>
      <c r="U288" s="214">
        <v>1</v>
      </c>
      <c r="V288" s="214">
        <v>1</v>
      </c>
      <c r="W288" s="214">
        <v>1</v>
      </c>
      <c r="X288" s="214">
        <v>1</v>
      </c>
      <c r="Y288" s="142"/>
      <c r="Z288" s="149">
        <f t="shared" si="445"/>
        <v>2521.5</v>
      </c>
      <c r="AA288" s="150">
        <f t="shared" si="446"/>
        <v>3.8831100000000007</v>
      </c>
      <c r="AE288" s="582">
        <f t="shared" si="447"/>
        <v>12.3</v>
      </c>
      <c r="AF288" s="582">
        <f t="shared" si="448"/>
        <v>0</v>
      </c>
    </row>
    <row r="289" spans="2:32" ht="18" customHeight="1">
      <c r="B289" s="142" t="s">
        <v>489</v>
      </c>
      <c r="C289" s="221" t="s">
        <v>185</v>
      </c>
      <c r="D289" s="222">
        <v>0</v>
      </c>
      <c r="E289" s="210" t="s">
        <v>264</v>
      </c>
      <c r="F289" s="51" t="s">
        <v>490</v>
      </c>
      <c r="G289" s="63" t="s">
        <v>271</v>
      </c>
      <c r="H289" s="51" t="s">
        <v>418</v>
      </c>
      <c r="I289" s="51">
        <v>8.6</v>
      </c>
      <c r="J289" s="213">
        <v>11205</v>
      </c>
      <c r="K289" s="146">
        <f t="shared" ref="K289" si="479">SUM(IF(J289="",0,VLOOKUP(J289,Kengetal,2)))</f>
        <v>205</v>
      </c>
      <c r="L289" s="147">
        <f t="shared" ref="L289" si="480">P289*I289*U289</f>
        <v>9.3210847058823543</v>
      </c>
      <c r="M289" s="147">
        <f t="shared" ref="M289" si="481">Q289*I289*V289</f>
        <v>0</v>
      </c>
      <c r="N289" s="147">
        <f t="shared" ref="N289" si="482">R289*I289*W289</f>
        <v>0</v>
      </c>
      <c r="O289" s="147">
        <f t="shared" ref="O289" si="483">S289*I289*X289</f>
        <v>0</v>
      </c>
      <c r="P289" s="148">
        <f t="shared" si="450"/>
        <v>1.0838470588235296</v>
      </c>
      <c r="Q289" s="147">
        <f t="shared" si="451"/>
        <v>0</v>
      </c>
      <c r="R289" s="147">
        <f t="shared" si="452"/>
        <v>0</v>
      </c>
      <c r="S289" s="147">
        <f t="shared" si="453"/>
        <v>0</v>
      </c>
      <c r="T289" s="200" t="str">
        <f t="shared" ref="T289" si="484">IF(J289="","",VLOOKUP(J289,Kengetal,13,FALSE))</f>
        <v>S</v>
      </c>
      <c r="U289" s="214">
        <v>1</v>
      </c>
      <c r="V289" s="214">
        <v>1</v>
      </c>
      <c r="W289" s="214">
        <v>1</v>
      </c>
      <c r="X289" s="214">
        <v>1</v>
      </c>
      <c r="Y289" s="142"/>
      <c r="Z289" s="149">
        <f t="shared" si="445"/>
        <v>1763</v>
      </c>
      <c r="AA289" s="150">
        <f t="shared" si="446"/>
        <v>9.3210847058823543</v>
      </c>
      <c r="AE289" s="582">
        <f t="shared" si="447"/>
        <v>8.6</v>
      </c>
      <c r="AF289" s="582">
        <f t="shared" si="448"/>
        <v>0</v>
      </c>
    </row>
    <row r="290" spans="2:32" ht="18" customHeight="1">
      <c r="B290" s="142" t="s">
        <v>489</v>
      </c>
      <c r="C290" s="221" t="s">
        <v>185</v>
      </c>
      <c r="D290" s="222">
        <v>0</v>
      </c>
      <c r="E290" s="210" t="s">
        <v>268</v>
      </c>
      <c r="F290" s="51" t="s">
        <v>451</v>
      </c>
      <c r="G290" s="63" t="s">
        <v>266</v>
      </c>
      <c r="H290" s="51" t="s">
        <v>473</v>
      </c>
      <c r="I290" s="51">
        <v>0</v>
      </c>
      <c r="J290" s="213">
        <v>2205</v>
      </c>
      <c r="K290" s="146">
        <f t="shared" ref="K290" si="485">SUM(IF(J290="",0,VLOOKUP(J290,Kengetal,2)))</f>
        <v>205</v>
      </c>
      <c r="L290" s="147">
        <f t="shared" ref="L290" si="486">P290*I290*U290</f>
        <v>0</v>
      </c>
      <c r="M290" s="147">
        <f t="shared" ref="M290" si="487">Q290*I290*V290</f>
        <v>0</v>
      </c>
      <c r="N290" s="147">
        <f t="shared" ref="N290" si="488">R290*I290*W290</f>
        <v>0</v>
      </c>
      <c r="O290" s="147">
        <f t="shared" ref="O290" si="489">S290*I290*X290</f>
        <v>0</v>
      </c>
      <c r="P290" s="148">
        <f t="shared" si="450"/>
        <v>2.7079294117647064</v>
      </c>
      <c r="Q290" s="147">
        <f t="shared" si="451"/>
        <v>0</v>
      </c>
      <c r="R290" s="147">
        <f t="shared" si="452"/>
        <v>0</v>
      </c>
      <c r="S290" s="147">
        <f t="shared" si="453"/>
        <v>0</v>
      </c>
      <c r="T290" s="200" t="str">
        <f t="shared" ref="T290" si="490">IF(J290="","",VLOOKUP(J290,Kengetal,13,FALSE))</f>
        <v>S</v>
      </c>
      <c r="U290" s="214">
        <v>1</v>
      </c>
      <c r="V290" s="214">
        <v>1</v>
      </c>
      <c r="W290" s="214">
        <v>1</v>
      </c>
      <c r="X290" s="214">
        <v>1</v>
      </c>
      <c r="Y290" s="142"/>
      <c r="Z290" s="149">
        <f t="shared" si="445"/>
        <v>0</v>
      </c>
      <c r="AA290" s="150">
        <f t="shared" si="446"/>
        <v>0</v>
      </c>
      <c r="AE290" s="582">
        <f t="shared" si="447"/>
        <v>0</v>
      </c>
      <c r="AF290" s="582">
        <f t="shared" si="448"/>
        <v>0</v>
      </c>
    </row>
    <row r="291" spans="2:32" ht="18" customHeight="1">
      <c r="B291" s="142" t="s">
        <v>489</v>
      </c>
      <c r="C291" s="221" t="s">
        <v>185</v>
      </c>
      <c r="D291" s="222">
        <v>0</v>
      </c>
      <c r="E291" s="210" t="s">
        <v>474</v>
      </c>
      <c r="F291" s="51" t="s">
        <v>475</v>
      </c>
      <c r="G291" s="63" t="s">
        <v>266</v>
      </c>
      <c r="H291" s="51" t="s">
        <v>476</v>
      </c>
      <c r="I291" s="51">
        <v>0</v>
      </c>
      <c r="J291" s="213">
        <v>2205</v>
      </c>
      <c r="K291" s="146">
        <f t="shared" ref="K291" si="491">SUM(IF(J291="",0,VLOOKUP(J291,Kengetal,2)))</f>
        <v>205</v>
      </c>
      <c r="L291" s="147">
        <f t="shared" ref="L291" si="492">P291*I291*U291</f>
        <v>0</v>
      </c>
      <c r="M291" s="147">
        <f t="shared" ref="M291" si="493">Q291*I291*V291</f>
        <v>0</v>
      </c>
      <c r="N291" s="147">
        <f t="shared" ref="N291" si="494">R291*I291*W291</f>
        <v>0</v>
      </c>
      <c r="O291" s="147">
        <f t="shared" ref="O291" si="495">S291*I291*X291</f>
        <v>0</v>
      </c>
      <c r="P291" s="148">
        <f t="shared" si="450"/>
        <v>2.7079294117647064</v>
      </c>
      <c r="Q291" s="147">
        <f t="shared" si="451"/>
        <v>0</v>
      </c>
      <c r="R291" s="147">
        <f t="shared" si="452"/>
        <v>0</v>
      </c>
      <c r="S291" s="147">
        <f t="shared" si="453"/>
        <v>0</v>
      </c>
      <c r="T291" s="200" t="str">
        <f t="shared" ref="T291" si="496">IF(J291="","",VLOOKUP(J291,Kengetal,13,FALSE))</f>
        <v>S</v>
      </c>
      <c r="U291" s="214">
        <v>1</v>
      </c>
      <c r="V291" s="214">
        <v>1</v>
      </c>
      <c r="W291" s="214">
        <v>1</v>
      </c>
      <c r="X291" s="214">
        <v>1</v>
      </c>
      <c r="Y291" s="142"/>
      <c r="Z291" s="149">
        <f t="shared" si="445"/>
        <v>0</v>
      </c>
      <c r="AA291" s="150">
        <f t="shared" si="446"/>
        <v>0</v>
      </c>
      <c r="AE291" s="582">
        <f t="shared" si="447"/>
        <v>0</v>
      </c>
      <c r="AF291" s="582">
        <f t="shared" si="448"/>
        <v>0</v>
      </c>
    </row>
    <row r="292" spans="2:32" ht="18" customHeight="1">
      <c r="B292" s="142" t="s">
        <v>489</v>
      </c>
      <c r="C292" s="221" t="s">
        <v>185</v>
      </c>
      <c r="D292" s="222">
        <v>0</v>
      </c>
      <c r="E292" s="210" t="s">
        <v>477</v>
      </c>
      <c r="F292" s="51" t="s">
        <v>490</v>
      </c>
      <c r="G292" s="63" t="s">
        <v>271</v>
      </c>
      <c r="H292" s="51" t="s">
        <v>418</v>
      </c>
      <c r="I292" s="51">
        <v>13.42</v>
      </c>
      <c r="J292" s="213">
        <v>11205</v>
      </c>
      <c r="K292" s="146">
        <f t="shared" ref="K292" si="497">SUM(IF(J292="",0,VLOOKUP(J292,Kengetal,2)))</f>
        <v>205</v>
      </c>
      <c r="L292" s="147">
        <f t="shared" ref="L292" si="498">P292*I292*U292</f>
        <v>14.545227529411767</v>
      </c>
      <c r="M292" s="147">
        <f t="shared" ref="M292" si="499">Q292*I292*V292</f>
        <v>0</v>
      </c>
      <c r="N292" s="147">
        <f t="shared" ref="N292" si="500">R292*I292*W292</f>
        <v>0</v>
      </c>
      <c r="O292" s="147">
        <f t="shared" ref="O292" si="501">S292*I292*X292</f>
        <v>0</v>
      </c>
      <c r="P292" s="148">
        <f t="shared" si="450"/>
        <v>1.0838470588235296</v>
      </c>
      <c r="Q292" s="147">
        <f t="shared" si="451"/>
        <v>0</v>
      </c>
      <c r="R292" s="147">
        <f t="shared" si="452"/>
        <v>0</v>
      </c>
      <c r="S292" s="147">
        <f t="shared" si="453"/>
        <v>0</v>
      </c>
      <c r="T292" s="200" t="str">
        <f t="shared" ref="T292" si="502">IF(J292="","",VLOOKUP(J292,Kengetal,13,FALSE))</f>
        <v>S</v>
      </c>
      <c r="U292" s="214">
        <v>1</v>
      </c>
      <c r="V292" s="214">
        <v>1</v>
      </c>
      <c r="W292" s="214">
        <v>1</v>
      </c>
      <c r="X292" s="214">
        <v>1</v>
      </c>
      <c r="Y292" s="142"/>
      <c r="Z292" s="149">
        <f t="shared" si="445"/>
        <v>2751.1</v>
      </c>
      <c r="AA292" s="150">
        <f t="shared" si="446"/>
        <v>14.545227529411767</v>
      </c>
      <c r="AE292" s="582">
        <f t="shared" si="447"/>
        <v>13.42</v>
      </c>
      <c r="AF292" s="582">
        <f t="shared" si="448"/>
        <v>0</v>
      </c>
    </row>
    <row r="293" spans="2:32" ht="18" customHeight="1">
      <c r="B293" s="142" t="s">
        <v>489</v>
      </c>
      <c r="C293" s="221" t="s">
        <v>185</v>
      </c>
      <c r="D293" s="222">
        <v>0</v>
      </c>
      <c r="E293" s="210" t="s">
        <v>479</v>
      </c>
      <c r="F293" s="51" t="s">
        <v>451</v>
      </c>
      <c r="G293" s="63" t="s">
        <v>266</v>
      </c>
      <c r="H293" s="51" t="s">
        <v>473</v>
      </c>
      <c r="I293" s="51">
        <v>0</v>
      </c>
      <c r="J293" s="213">
        <v>2205</v>
      </c>
      <c r="K293" s="146">
        <f t="shared" ref="K293" si="503">SUM(IF(J293="",0,VLOOKUP(J293,Kengetal,2)))</f>
        <v>205</v>
      </c>
      <c r="L293" s="147">
        <f t="shared" ref="L293" si="504">P293*I293*U293</f>
        <v>0</v>
      </c>
      <c r="M293" s="147">
        <f t="shared" ref="M293" si="505">Q293*I293*V293</f>
        <v>0</v>
      </c>
      <c r="N293" s="147">
        <f t="shared" ref="N293" si="506">R293*I293*W293</f>
        <v>0</v>
      </c>
      <c r="O293" s="147">
        <f t="shared" ref="O293" si="507">S293*I293*X293</f>
        <v>0</v>
      </c>
      <c r="P293" s="148">
        <f t="shared" si="450"/>
        <v>2.7079294117647064</v>
      </c>
      <c r="Q293" s="147">
        <f t="shared" si="451"/>
        <v>0</v>
      </c>
      <c r="R293" s="147">
        <f t="shared" si="452"/>
        <v>0</v>
      </c>
      <c r="S293" s="147">
        <f t="shared" si="453"/>
        <v>0</v>
      </c>
      <c r="T293" s="200" t="str">
        <f t="shared" ref="T293" si="508">IF(J293="","",VLOOKUP(J293,Kengetal,13,FALSE))</f>
        <v>S</v>
      </c>
      <c r="U293" s="214">
        <v>1</v>
      </c>
      <c r="V293" s="214">
        <v>1</v>
      </c>
      <c r="W293" s="214">
        <v>1</v>
      </c>
      <c r="X293" s="214">
        <v>1</v>
      </c>
      <c r="Y293" s="142"/>
      <c r="Z293" s="149">
        <f t="shared" si="445"/>
        <v>0</v>
      </c>
      <c r="AA293" s="150">
        <f t="shared" si="446"/>
        <v>0</v>
      </c>
      <c r="AE293" s="582">
        <f t="shared" si="447"/>
        <v>0</v>
      </c>
      <c r="AF293" s="582">
        <f t="shared" si="448"/>
        <v>0</v>
      </c>
    </row>
    <row r="294" spans="2:32" ht="18" customHeight="1">
      <c r="B294" s="142" t="s">
        <v>489</v>
      </c>
      <c r="C294" s="221" t="s">
        <v>185</v>
      </c>
      <c r="D294" s="222">
        <v>0</v>
      </c>
      <c r="E294" s="210" t="s">
        <v>480</v>
      </c>
      <c r="F294" s="51" t="s">
        <v>475</v>
      </c>
      <c r="G294" s="63" t="s">
        <v>266</v>
      </c>
      <c r="H294" s="51" t="s">
        <v>476</v>
      </c>
      <c r="I294" s="51">
        <v>0</v>
      </c>
      <c r="J294" s="213">
        <v>2205</v>
      </c>
      <c r="K294" s="146">
        <f t="shared" ref="K294" si="509">SUM(IF(J294="",0,VLOOKUP(J294,Kengetal,2)))</f>
        <v>205</v>
      </c>
      <c r="L294" s="147">
        <f t="shared" ref="L294" si="510">P294*I294*U294</f>
        <v>0</v>
      </c>
      <c r="M294" s="147">
        <f t="shared" ref="M294" si="511">Q294*I294*V294</f>
        <v>0</v>
      </c>
      <c r="N294" s="147">
        <f t="shared" ref="N294" si="512">R294*I294*W294</f>
        <v>0</v>
      </c>
      <c r="O294" s="147">
        <f t="shared" ref="O294" si="513">S294*I294*X294</f>
        <v>0</v>
      </c>
      <c r="P294" s="148">
        <f t="shared" si="450"/>
        <v>2.7079294117647064</v>
      </c>
      <c r="Q294" s="147">
        <f t="shared" si="451"/>
        <v>0</v>
      </c>
      <c r="R294" s="147">
        <f t="shared" si="452"/>
        <v>0</v>
      </c>
      <c r="S294" s="147">
        <f t="shared" si="453"/>
        <v>0</v>
      </c>
      <c r="T294" s="200" t="str">
        <f t="shared" ref="T294" si="514">IF(J294="","",VLOOKUP(J294,Kengetal,13,FALSE))</f>
        <v>S</v>
      </c>
      <c r="U294" s="214">
        <v>1</v>
      </c>
      <c r="V294" s="214">
        <v>1</v>
      </c>
      <c r="W294" s="214">
        <v>1</v>
      </c>
      <c r="X294" s="214">
        <v>1</v>
      </c>
      <c r="Y294" s="142"/>
      <c r="Z294" s="149">
        <f t="shared" si="445"/>
        <v>0</v>
      </c>
      <c r="AA294" s="150">
        <f t="shared" si="446"/>
        <v>0</v>
      </c>
      <c r="AE294" s="582">
        <f t="shared" si="447"/>
        <v>0</v>
      </c>
      <c r="AF294" s="582">
        <f t="shared" si="448"/>
        <v>0</v>
      </c>
    </row>
    <row r="295" spans="2:32" ht="18" customHeight="1">
      <c r="B295" s="142" t="s">
        <v>489</v>
      </c>
      <c r="C295" s="221" t="s">
        <v>185</v>
      </c>
      <c r="D295" s="222">
        <v>0</v>
      </c>
      <c r="E295" s="51" t="s">
        <v>481</v>
      </c>
      <c r="F295" s="51" t="s">
        <v>482</v>
      </c>
      <c r="G295" s="63" t="s">
        <v>271</v>
      </c>
      <c r="H295" s="51" t="s">
        <v>476</v>
      </c>
      <c r="I295" s="51">
        <v>0</v>
      </c>
      <c r="J295" s="213">
        <v>11205</v>
      </c>
      <c r="K295" s="146">
        <f t="shared" ref="K295" si="515">SUM(IF(J295="",0,VLOOKUP(J295,Kengetal,2)))</f>
        <v>205</v>
      </c>
      <c r="L295" s="147">
        <f t="shared" ref="L295" si="516">P295*I295*U295</f>
        <v>0</v>
      </c>
      <c r="M295" s="147">
        <f t="shared" ref="M295" si="517">Q295*I295*V295</f>
        <v>0</v>
      </c>
      <c r="N295" s="147">
        <f t="shared" ref="N295" si="518">R295*I295*W295</f>
        <v>0</v>
      </c>
      <c r="O295" s="147">
        <f t="shared" ref="O295" si="519">S295*I295*X295</f>
        <v>0</v>
      </c>
      <c r="P295" s="148">
        <f t="shared" si="450"/>
        <v>1.0838470588235296</v>
      </c>
      <c r="Q295" s="147">
        <f t="shared" si="451"/>
        <v>0</v>
      </c>
      <c r="R295" s="147">
        <f t="shared" si="452"/>
        <v>0</v>
      </c>
      <c r="S295" s="147">
        <f t="shared" si="453"/>
        <v>0</v>
      </c>
      <c r="T295" s="200" t="str">
        <f t="shared" ref="T295" si="520">IF(J295="","",VLOOKUP(J295,Kengetal,13,FALSE))</f>
        <v>S</v>
      </c>
      <c r="U295" s="214">
        <v>1</v>
      </c>
      <c r="V295" s="214">
        <v>1</v>
      </c>
      <c r="W295" s="214">
        <v>1</v>
      </c>
      <c r="X295" s="214">
        <v>1</v>
      </c>
      <c r="Y295" s="142"/>
      <c r="Z295" s="149">
        <f t="shared" si="445"/>
        <v>0</v>
      </c>
      <c r="AA295" s="150">
        <f t="shared" si="446"/>
        <v>0</v>
      </c>
      <c r="AE295" s="582">
        <f t="shared" si="447"/>
        <v>0</v>
      </c>
      <c r="AF295" s="582">
        <f t="shared" si="448"/>
        <v>0</v>
      </c>
    </row>
    <row r="296" spans="2:32" ht="18" customHeight="1">
      <c r="B296" s="142" t="s">
        <v>489</v>
      </c>
      <c r="C296" s="221" t="s">
        <v>185</v>
      </c>
      <c r="D296" s="222">
        <v>0</v>
      </c>
      <c r="E296" s="51" t="s">
        <v>483</v>
      </c>
      <c r="F296" s="51" t="s">
        <v>484</v>
      </c>
      <c r="G296" s="63" t="s">
        <v>266</v>
      </c>
      <c r="H296" s="51" t="s">
        <v>476</v>
      </c>
      <c r="I296" s="51">
        <v>0</v>
      </c>
      <c r="J296" s="213">
        <v>2205</v>
      </c>
      <c r="K296" s="146">
        <f t="shared" ref="K296:K297" si="521">SUM(IF(J296="",0,VLOOKUP(J296,Kengetal,2)))</f>
        <v>205</v>
      </c>
      <c r="L296" s="147">
        <f t="shared" ref="L296:L297" si="522">P296*I296*U296</f>
        <v>0</v>
      </c>
      <c r="M296" s="147">
        <f t="shared" ref="M296:M297" si="523">Q296*I296*V296</f>
        <v>0</v>
      </c>
      <c r="N296" s="147">
        <f t="shared" ref="N296:N297" si="524">R296*I296*W296</f>
        <v>0</v>
      </c>
      <c r="O296" s="147">
        <f t="shared" ref="O296:O297" si="525">S296*I296*X296</f>
        <v>0</v>
      </c>
      <c r="P296" s="148">
        <f t="shared" si="450"/>
        <v>2.7079294117647064</v>
      </c>
      <c r="Q296" s="147">
        <f t="shared" si="451"/>
        <v>0</v>
      </c>
      <c r="R296" s="147">
        <f t="shared" si="452"/>
        <v>0</v>
      </c>
      <c r="S296" s="147">
        <f t="shared" si="453"/>
        <v>0</v>
      </c>
      <c r="T296" s="200" t="str">
        <f t="shared" ref="T296:T297" si="526">IF(J296="","",VLOOKUP(J296,Kengetal,13,FALSE))</f>
        <v>S</v>
      </c>
      <c r="U296" s="214">
        <v>1</v>
      </c>
      <c r="V296" s="214">
        <v>1</v>
      </c>
      <c r="W296" s="214">
        <v>1</v>
      </c>
      <c r="X296" s="214">
        <v>1</v>
      </c>
      <c r="Y296" s="142"/>
      <c r="Z296" s="149">
        <f t="shared" si="445"/>
        <v>0</v>
      </c>
      <c r="AA296" s="150">
        <f t="shared" si="446"/>
        <v>0</v>
      </c>
      <c r="AE296" s="582">
        <f t="shared" si="447"/>
        <v>0</v>
      </c>
      <c r="AF296" s="582">
        <f t="shared" si="448"/>
        <v>0</v>
      </c>
    </row>
    <row r="297" spans="2:32" ht="18" customHeight="1">
      <c r="B297" s="142" t="s">
        <v>489</v>
      </c>
      <c r="C297" s="221" t="s">
        <v>185</v>
      </c>
      <c r="D297" s="222">
        <v>0</v>
      </c>
      <c r="E297" s="210" t="s">
        <v>485</v>
      </c>
      <c r="F297" s="51" t="s">
        <v>160</v>
      </c>
      <c r="G297" s="63" t="s">
        <v>271</v>
      </c>
      <c r="H297" s="51" t="s">
        <v>486</v>
      </c>
      <c r="I297" s="51">
        <v>132.63999999999999</v>
      </c>
      <c r="J297" s="213">
        <v>19205</v>
      </c>
      <c r="K297" s="146">
        <f t="shared" si="521"/>
        <v>205</v>
      </c>
      <c r="L297" s="147">
        <f t="shared" si="522"/>
        <v>38.851426352941168</v>
      </c>
      <c r="M297" s="147">
        <f t="shared" si="523"/>
        <v>0</v>
      </c>
      <c r="N297" s="147">
        <f t="shared" si="524"/>
        <v>0</v>
      </c>
      <c r="O297" s="147">
        <f t="shared" si="525"/>
        <v>0</v>
      </c>
      <c r="P297" s="148">
        <f t="shared" si="450"/>
        <v>0.29290882352941172</v>
      </c>
      <c r="Q297" s="147">
        <f t="shared" si="451"/>
        <v>0</v>
      </c>
      <c r="R297" s="147">
        <f t="shared" si="452"/>
        <v>0</v>
      </c>
      <c r="S297" s="147">
        <f t="shared" si="453"/>
        <v>0</v>
      </c>
      <c r="T297" s="200" t="str">
        <f t="shared" si="526"/>
        <v>V</v>
      </c>
      <c r="U297" s="214">
        <v>1</v>
      </c>
      <c r="V297" s="214">
        <v>1</v>
      </c>
      <c r="W297" s="214">
        <v>1</v>
      </c>
      <c r="X297" s="214">
        <v>1</v>
      </c>
      <c r="Y297" s="142"/>
      <c r="Z297" s="149">
        <f t="shared" si="445"/>
        <v>27191.199999999997</v>
      </c>
      <c r="AA297" s="150">
        <f t="shared" si="446"/>
        <v>38.851426352941168</v>
      </c>
      <c r="AE297" s="582">
        <f t="shared" si="447"/>
        <v>0</v>
      </c>
      <c r="AF297" s="582">
        <f t="shared" si="448"/>
        <v>0</v>
      </c>
    </row>
    <row r="298" spans="2:32" ht="18" customHeight="1">
      <c r="B298" s="142" t="s">
        <v>489</v>
      </c>
      <c r="C298" s="221" t="s">
        <v>185</v>
      </c>
      <c r="D298" s="222">
        <v>0</v>
      </c>
      <c r="E298" s="210" t="s">
        <v>487</v>
      </c>
      <c r="F298" s="51" t="s">
        <v>488</v>
      </c>
      <c r="G298" s="63" t="s">
        <v>271</v>
      </c>
      <c r="H298" s="51" t="s">
        <v>476</v>
      </c>
      <c r="I298" s="51">
        <v>21.12</v>
      </c>
      <c r="J298" s="213">
        <v>19205</v>
      </c>
      <c r="K298" s="146">
        <f t="shared" ref="K298:K300" si="527">SUM(IF(J298="",0,VLOOKUP(J298,Kengetal,2)))</f>
        <v>205</v>
      </c>
      <c r="L298" s="147">
        <f t="shared" ref="L298:L300" si="528">P298*I298*U298</f>
        <v>6.1862343529411756</v>
      </c>
      <c r="M298" s="147">
        <f t="shared" ref="M298:M300" si="529">Q298*I298*V298</f>
        <v>0</v>
      </c>
      <c r="N298" s="147">
        <f t="shared" ref="N298:N300" si="530">R298*I298*W298</f>
        <v>0</v>
      </c>
      <c r="O298" s="147">
        <f t="shared" ref="O298:O300" si="531">S298*I298*X298</f>
        <v>0</v>
      </c>
      <c r="P298" s="148">
        <f t="shared" si="450"/>
        <v>0.29290882352941172</v>
      </c>
      <c r="Q298" s="147">
        <f t="shared" si="451"/>
        <v>0</v>
      </c>
      <c r="R298" s="147">
        <f t="shared" si="452"/>
        <v>0</v>
      </c>
      <c r="S298" s="147">
        <f t="shared" si="453"/>
        <v>0</v>
      </c>
      <c r="T298" s="200" t="str">
        <f t="shared" ref="T298:T300" si="532">IF(J298="","",VLOOKUP(J298,Kengetal,13,FALSE))</f>
        <v>V</v>
      </c>
      <c r="U298" s="214">
        <v>1</v>
      </c>
      <c r="V298" s="214">
        <v>1</v>
      </c>
      <c r="W298" s="214">
        <v>1</v>
      </c>
      <c r="X298" s="214">
        <v>1</v>
      </c>
      <c r="Y298" s="142"/>
      <c r="Z298" s="149">
        <f t="shared" si="445"/>
        <v>4329.6000000000004</v>
      </c>
      <c r="AA298" s="150">
        <f t="shared" si="446"/>
        <v>6.1862343529411756</v>
      </c>
      <c r="AE298" s="582">
        <f t="shared" si="447"/>
        <v>0</v>
      </c>
      <c r="AF298" s="582">
        <f t="shared" si="448"/>
        <v>0</v>
      </c>
    </row>
    <row r="299" spans="2:32" ht="18" customHeight="1">
      <c r="B299" s="142" t="s">
        <v>491</v>
      </c>
      <c r="C299" s="221" t="s">
        <v>186</v>
      </c>
      <c r="D299" s="222">
        <v>0</v>
      </c>
      <c r="E299" s="210" t="s">
        <v>261</v>
      </c>
      <c r="F299" s="51" t="s">
        <v>144</v>
      </c>
      <c r="G299" s="63" t="s">
        <v>271</v>
      </c>
      <c r="H299" s="51" t="s">
        <v>321</v>
      </c>
      <c r="I299" s="51">
        <v>18.260000000000002</v>
      </c>
      <c r="J299" s="213">
        <v>8205</v>
      </c>
      <c r="K299" s="146">
        <f t="shared" si="527"/>
        <v>205</v>
      </c>
      <c r="L299" s="147">
        <f t="shared" si="528"/>
        <v>30.827176470588242</v>
      </c>
      <c r="M299" s="147">
        <f t="shared" si="529"/>
        <v>0</v>
      </c>
      <c r="N299" s="147">
        <f t="shared" si="530"/>
        <v>0</v>
      </c>
      <c r="O299" s="147">
        <f t="shared" si="531"/>
        <v>0</v>
      </c>
      <c r="P299" s="148">
        <f t="shared" si="450"/>
        <v>1.6882352941176473</v>
      </c>
      <c r="Q299" s="147">
        <f t="shared" si="451"/>
        <v>0</v>
      </c>
      <c r="R299" s="147">
        <f t="shared" si="452"/>
        <v>0</v>
      </c>
      <c r="S299" s="147">
        <f t="shared" si="453"/>
        <v>0</v>
      </c>
      <c r="T299" s="200" t="str">
        <f t="shared" si="532"/>
        <v>V</v>
      </c>
      <c r="U299" s="214">
        <v>1</v>
      </c>
      <c r="V299" s="214">
        <v>1</v>
      </c>
      <c r="W299" s="214">
        <v>1</v>
      </c>
      <c r="X299" s="214">
        <v>1</v>
      </c>
      <c r="Y299" s="142"/>
      <c r="Z299" s="149">
        <f t="shared" si="445"/>
        <v>3743.3</v>
      </c>
      <c r="AA299" s="150">
        <f t="shared" si="446"/>
        <v>30.827176470588242</v>
      </c>
      <c r="AE299" s="582">
        <f t="shared" si="447"/>
        <v>0</v>
      </c>
      <c r="AF299" s="582">
        <f t="shared" si="448"/>
        <v>0</v>
      </c>
    </row>
    <row r="300" spans="2:32" ht="18" customHeight="1">
      <c r="B300" s="142" t="s">
        <v>491</v>
      </c>
      <c r="C300" s="221" t="s">
        <v>186</v>
      </c>
      <c r="D300" s="222">
        <v>0</v>
      </c>
      <c r="E300" s="210" t="s">
        <v>264</v>
      </c>
      <c r="F300" s="51" t="s">
        <v>472</v>
      </c>
      <c r="G300" s="63" t="s">
        <v>271</v>
      </c>
      <c r="H300" s="51"/>
      <c r="I300" s="51">
        <v>26.74</v>
      </c>
      <c r="J300" s="213">
        <v>11205</v>
      </c>
      <c r="K300" s="146">
        <f t="shared" si="527"/>
        <v>205</v>
      </c>
      <c r="L300" s="147">
        <f t="shared" si="528"/>
        <v>28.982070352941179</v>
      </c>
      <c r="M300" s="147">
        <f t="shared" si="529"/>
        <v>0</v>
      </c>
      <c r="N300" s="147">
        <f t="shared" si="530"/>
        <v>0</v>
      </c>
      <c r="O300" s="147">
        <f t="shared" si="531"/>
        <v>0</v>
      </c>
      <c r="P300" s="148">
        <f t="shared" si="450"/>
        <v>1.0838470588235296</v>
      </c>
      <c r="Q300" s="147">
        <f t="shared" si="451"/>
        <v>0</v>
      </c>
      <c r="R300" s="147">
        <f t="shared" si="452"/>
        <v>0</v>
      </c>
      <c r="S300" s="147">
        <f t="shared" si="453"/>
        <v>0</v>
      </c>
      <c r="T300" s="200" t="str">
        <f t="shared" si="532"/>
        <v>S</v>
      </c>
      <c r="U300" s="214">
        <v>1</v>
      </c>
      <c r="V300" s="214">
        <v>1</v>
      </c>
      <c r="W300" s="214">
        <v>1</v>
      </c>
      <c r="X300" s="214">
        <v>1</v>
      </c>
      <c r="Y300" s="142"/>
      <c r="Z300" s="149">
        <f t="shared" si="445"/>
        <v>5481.7</v>
      </c>
      <c r="AA300" s="150">
        <f t="shared" si="446"/>
        <v>28.982070352941179</v>
      </c>
      <c r="AE300" s="582">
        <f t="shared" si="447"/>
        <v>0</v>
      </c>
      <c r="AF300" s="582">
        <f t="shared" si="448"/>
        <v>0</v>
      </c>
    </row>
    <row r="301" spans="2:32" ht="18" customHeight="1">
      <c r="B301" s="142" t="s">
        <v>491</v>
      </c>
      <c r="C301" s="221" t="s">
        <v>186</v>
      </c>
      <c r="D301" s="222">
        <v>0</v>
      </c>
      <c r="E301" s="210" t="s">
        <v>268</v>
      </c>
      <c r="F301" s="51" t="s">
        <v>451</v>
      </c>
      <c r="G301" s="63" t="s">
        <v>266</v>
      </c>
      <c r="H301" s="51" t="s">
        <v>473</v>
      </c>
      <c r="I301" s="51">
        <v>13.02</v>
      </c>
      <c r="J301" s="213">
        <v>2205</v>
      </c>
      <c r="K301" s="146">
        <f t="shared" ref="K301:K304" si="533">SUM(IF(J301="",0,VLOOKUP(J301,Kengetal,2)))</f>
        <v>205</v>
      </c>
      <c r="L301" s="147">
        <f t="shared" ref="L301:L304" si="534">P301*I301*U301</f>
        <v>35.257240941176477</v>
      </c>
      <c r="M301" s="147">
        <f t="shared" ref="M301:M304" si="535">Q301*I301*V301</f>
        <v>0</v>
      </c>
      <c r="N301" s="147">
        <f t="shared" ref="N301:N304" si="536">R301*I301*W301</f>
        <v>0</v>
      </c>
      <c r="O301" s="147">
        <f t="shared" ref="O301:O304" si="537">S301*I301*X301</f>
        <v>0</v>
      </c>
      <c r="P301" s="148">
        <f t="shared" si="450"/>
        <v>2.7079294117647064</v>
      </c>
      <c r="Q301" s="147">
        <f t="shared" si="451"/>
        <v>0</v>
      </c>
      <c r="R301" s="147">
        <f t="shared" si="452"/>
        <v>0</v>
      </c>
      <c r="S301" s="147">
        <f t="shared" si="453"/>
        <v>0</v>
      </c>
      <c r="T301" s="200" t="str">
        <f t="shared" ref="T301:T304" si="538">IF(J301="","",VLOOKUP(J301,Kengetal,13,FALSE))</f>
        <v>S</v>
      </c>
      <c r="U301" s="214">
        <v>1</v>
      </c>
      <c r="V301" s="214">
        <v>1</v>
      </c>
      <c r="W301" s="214">
        <v>1</v>
      </c>
      <c r="X301" s="214">
        <v>1</v>
      </c>
      <c r="Y301" s="142"/>
      <c r="Z301" s="149">
        <f t="shared" si="445"/>
        <v>2669.1</v>
      </c>
      <c r="AA301" s="150">
        <f t="shared" si="446"/>
        <v>35.257240941176477</v>
      </c>
      <c r="AE301" s="582">
        <f t="shared" si="447"/>
        <v>0</v>
      </c>
      <c r="AF301" s="582">
        <f t="shared" si="448"/>
        <v>0</v>
      </c>
    </row>
    <row r="302" spans="2:32" ht="18" customHeight="1">
      <c r="B302" s="142" t="s">
        <v>491</v>
      </c>
      <c r="C302" s="221" t="s">
        <v>186</v>
      </c>
      <c r="D302" s="222">
        <v>0</v>
      </c>
      <c r="E302" s="210" t="s">
        <v>474</v>
      </c>
      <c r="F302" s="51" t="s">
        <v>475</v>
      </c>
      <c r="G302" s="63" t="s">
        <v>266</v>
      </c>
      <c r="H302" s="51" t="s">
        <v>476</v>
      </c>
      <c r="I302" s="51">
        <v>3.8</v>
      </c>
      <c r="J302" s="213">
        <v>2205</v>
      </c>
      <c r="K302" s="146">
        <f t="shared" si="533"/>
        <v>205</v>
      </c>
      <c r="L302" s="147">
        <f t="shared" si="534"/>
        <v>10.290131764705883</v>
      </c>
      <c r="M302" s="147">
        <f t="shared" si="535"/>
        <v>0</v>
      </c>
      <c r="N302" s="147">
        <f t="shared" si="536"/>
        <v>0</v>
      </c>
      <c r="O302" s="147">
        <f t="shared" si="537"/>
        <v>0</v>
      </c>
      <c r="P302" s="148">
        <f t="shared" si="450"/>
        <v>2.7079294117647064</v>
      </c>
      <c r="Q302" s="147">
        <f t="shared" si="451"/>
        <v>0</v>
      </c>
      <c r="R302" s="147">
        <f t="shared" si="452"/>
        <v>0</v>
      </c>
      <c r="S302" s="147">
        <f t="shared" si="453"/>
        <v>0</v>
      </c>
      <c r="T302" s="200" t="str">
        <f t="shared" si="538"/>
        <v>S</v>
      </c>
      <c r="U302" s="214">
        <v>1</v>
      </c>
      <c r="V302" s="214">
        <v>1</v>
      </c>
      <c r="W302" s="214">
        <v>1</v>
      </c>
      <c r="X302" s="214">
        <v>1</v>
      </c>
      <c r="Y302" s="142"/>
      <c r="Z302" s="149">
        <f t="shared" si="445"/>
        <v>779</v>
      </c>
      <c r="AA302" s="150">
        <f t="shared" si="446"/>
        <v>10.290131764705883</v>
      </c>
      <c r="AE302" s="582">
        <f t="shared" si="447"/>
        <v>0</v>
      </c>
      <c r="AF302" s="582">
        <f t="shared" si="448"/>
        <v>0</v>
      </c>
    </row>
    <row r="303" spans="2:32" ht="18" customHeight="1">
      <c r="B303" s="142" t="s">
        <v>491</v>
      </c>
      <c r="C303" s="221" t="s">
        <v>186</v>
      </c>
      <c r="D303" s="222">
        <v>0</v>
      </c>
      <c r="E303" s="210" t="s">
        <v>477</v>
      </c>
      <c r="F303" s="51" t="s">
        <v>478</v>
      </c>
      <c r="G303" s="63" t="s">
        <v>271</v>
      </c>
      <c r="H303" s="51"/>
      <c r="I303" s="51">
        <v>26.74</v>
      </c>
      <c r="J303" s="213">
        <v>11205</v>
      </c>
      <c r="K303" s="146">
        <f t="shared" si="533"/>
        <v>205</v>
      </c>
      <c r="L303" s="147">
        <f t="shared" si="534"/>
        <v>28.982070352941179</v>
      </c>
      <c r="M303" s="147">
        <f t="shared" si="535"/>
        <v>0</v>
      </c>
      <c r="N303" s="147">
        <f t="shared" si="536"/>
        <v>0</v>
      </c>
      <c r="O303" s="147">
        <f t="shared" si="537"/>
        <v>0</v>
      </c>
      <c r="P303" s="148">
        <f t="shared" si="450"/>
        <v>1.0838470588235296</v>
      </c>
      <c r="Q303" s="147">
        <f t="shared" si="451"/>
        <v>0</v>
      </c>
      <c r="R303" s="147">
        <f t="shared" si="452"/>
        <v>0</v>
      </c>
      <c r="S303" s="147">
        <f t="shared" si="453"/>
        <v>0</v>
      </c>
      <c r="T303" s="200" t="str">
        <f t="shared" si="538"/>
        <v>S</v>
      </c>
      <c r="U303" s="214">
        <v>1</v>
      </c>
      <c r="V303" s="214">
        <v>1</v>
      </c>
      <c r="W303" s="214">
        <v>1</v>
      </c>
      <c r="X303" s="214">
        <v>1</v>
      </c>
      <c r="Y303" s="142"/>
      <c r="Z303" s="149">
        <f t="shared" si="445"/>
        <v>5481.7</v>
      </c>
      <c r="AA303" s="150">
        <f t="shared" si="446"/>
        <v>28.982070352941179</v>
      </c>
      <c r="AE303" s="582">
        <f t="shared" si="447"/>
        <v>0</v>
      </c>
      <c r="AF303" s="582">
        <f t="shared" si="448"/>
        <v>0</v>
      </c>
    </row>
    <row r="304" spans="2:32" ht="18" customHeight="1">
      <c r="B304" s="142" t="s">
        <v>491</v>
      </c>
      <c r="C304" s="221" t="s">
        <v>186</v>
      </c>
      <c r="D304" s="222">
        <v>0</v>
      </c>
      <c r="E304" s="210" t="s">
        <v>479</v>
      </c>
      <c r="F304" s="51" t="s">
        <v>451</v>
      </c>
      <c r="G304" s="63" t="s">
        <v>266</v>
      </c>
      <c r="H304" s="51" t="s">
        <v>473</v>
      </c>
      <c r="I304" s="51">
        <v>13.02</v>
      </c>
      <c r="J304" s="213">
        <v>2205</v>
      </c>
      <c r="K304" s="146">
        <f t="shared" si="533"/>
        <v>205</v>
      </c>
      <c r="L304" s="147">
        <f t="shared" si="534"/>
        <v>35.257240941176477</v>
      </c>
      <c r="M304" s="147">
        <f t="shared" si="535"/>
        <v>0</v>
      </c>
      <c r="N304" s="147">
        <f t="shared" si="536"/>
        <v>0</v>
      </c>
      <c r="O304" s="147">
        <f t="shared" si="537"/>
        <v>0</v>
      </c>
      <c r="P304" s="148">
        <f t="shared" si="450"/>
        <v>2.7079294117647064</v>
      </c>
      <c r="Q304" s="147">
        <f t="shared" si="451"/>
        <v>0</v>
      </c>
      <c r="R304" s="147">
        <f t="shared" si="452"/>
        <v>0</v>
      </c>
      <c r="S304" s="147">
        <f t="shared" si="453"/>
        <v>0</v>
      </c>
      <c r="T304" s="200" t="str">
        <f t="shared" si="538"/>
        <v>S</v>
      </c>
      <c r="U304" s="214">
        <v>1</v>
      </c>
      <c r="V304" s="214">
        <v>1</v>
      </c>
      <c r="W304" s="214">
        <v>1</v>
      </c>
      <c r="X304" s="214">
        <v>1</v>
      </c>
      <c r="Y304" s="142"/>
      <c r="Z304" s="149">
        <f t="shared" si="445"/>
        <v>2669.1</v>
      </c>
      <c r="AA304" s="150">
        <f t="shared" si="446"/>
        <v>35.257240941176477</v>
      </c>
      <c r="AE304" s="582">
        <f t="shared" si="447"/>
        <v>0</v>
      </c>
      <c r="AF304" s="582">
        <f t="shared" si="448"/>
        <v>0</v>
      </c>
    </row>
    <row r="305" spans="2:32" ht="18" customHeight="1">
      <c r="B305" s="142" t="s">
        <v>491</v>
      </c>
      <c r="C305" s="221" t="s">
        <v>186</v>
      </c>
      <c r="D305" s="222">
        <v>0</v>
      </c>
      <c r="E305" s="210" t="s">
        <v>480</v>
      </c>
      <c r="F305" s="51" t="s">
        <v>475</v>
      </c>
      <c r="G305" s="63" t="s">
        <v>266</v>
      </c>
      <c r="H305" s="51" t="s">
        <v>476</v>
      </c>
      <c r="I305" s="51">
        <v>3.8</v>
      </c>
      <c r="J305" s="213">
        <v>2205</v>
      </c>
      <c r="K305" s="146">
        <f t="shared" ref="K305:K308" si="539">SUM(IF(J305="",0,VLOOKUP(J305,Kengetal,2)))</f>
        <v>205</v>
      </c>
      <c r="L305" s="147">
        <f t="shared" ref="L305:L308" si="540">P305*I305*U305</f>
        <v>10.290131764705883</v>
      </c>
      <c r="M305" s="147">
        <f t="shared" ref="M305:M308" si="541">Q305*I305*V305</f>
        <v>0</v>
      </c>
      <c r="N305" s="147">
        <f t="shared" ref="N305:N308" si="542">R305*I305*W305</f>
        <v>0</v>
      </c>
      <c r="O305" s="147">
        <f t="shared" ref="O305:O308" si="543">S305*I305*X305</f>
        <v>0</v>
      </c>
      <c r="P305" s="148">
        <f t="shared" si="450"/>
        <v>2.7079294117647064</v>
      </c>
      <c r="Q305" s="147">
        <f t="shared" si="451"/>
        <v>0</v>
      </c>
      <c r="R305" s="147">
        <f t="shared" si="452"/>
        <v>0</v>
      </c>
      <c r="S305" s="147">
        <f t="shared" si="453"/>
        <v>0</v>
      </c>
      <c r="T305" s="200" t="str">
        <f t="shared" ref="T305:T308" si="544">IF(J305="","",VLOOKUP(J305,Kengetal,13,FALSE))</f>
        <v>S</v>
      </c>
      <c r="U305" s="214">
        <v>1</v>
      </c>
      <c r="V305" s="214">
        <v>1</v>
      </c>
      <c r="W305" s="214">
        <v>1</v>
      </c>
      <c r="X305" s="214">
        <v>1</v>
      </c>
      <c r="Y305" s="142"/>
      <c r="Z305" s="149">
        <f t="shared" si="445"/>
        <v>779</v>
      </c>
      <c r="AA305" s="150">
        <f t="shared" si="446"/>
        <v>10.290131764705883</v>
      </c>
      <c r="AE305" s="582">
        <f t="shared" si="447"/>
        <v>0</v>
      </c>
      <c r="AF305" s="582">
        <f t="shared" si="448"/>
        <v>0</v>
      </c>
    </row>
    <row r="306" spans="2:32" ht="18" customHeight="1">
      <c r="B306" s="142" t="s">
        <v>491</v>
      </c>
      <c r="C306" s="221" t="s">
        <v>186</v>
      </c>
      <c r="D306" s="222">
        <v>0</v>
      </c>
      <c r="E306" s="210" t="s">
        <v>481</v>
      </c>
      <c r="F306" s="51" t="s">
        <v>482</v>
      </c>
      <c r="G306" s="63" t="s">
        <v>271</v>
      </c>
      <c r="H306" s="51" t="s">
        <v>476</v>
      </c>
      <c r="I306" s="51">
        <v>5.41</v>
      </c>
      <c r="J306" s="213">
        <v>11205</v>
      </c>
      <c r="K306" s="146">
        <f t="shared" si="539"/>
        <v>205</v>
      </c>
      <c r="L306" s="147">
        <f t="shared" si="540"/>
        <v>5.863612588235295</v>
      </c>
      <c r="M306" s="147">
        <f t="shared" si="541"/>
        <v>0</v>
      </c>
      <c r="N306" s="147">
        <f t="shared" si="542"/>
        <v>0</v>
      </c>
      <c r="O306" s="147">
        <f t="shared" si="543"/>
        <v>0</v>
      </c>
      <c r="P306" s="148">
        <f t="shared" si="450"/>
        <v>1.0838470588235296</v>
      </c>
      <c r="Q306" s="147">
        <f t="shared" si="451"/>
        <v>0</v>
      </c>
      <c r="R306" s="147">
        <f t="shared" si="452"/>
        <v>0</v>
      </c>
      <c r="S306" s="147">
        <f t="shared" si="453"/>
        <v>0</v>
      </c>
      <c r="T306" s="200" t="str">
        <f t="shared" si="544"/>
        <v>S</v>
      </c>
      <c r="U306" s="214">
        <v>1</v>
      </c>
      <c r="V306" s="214">
        <v>1</v>
      </c>
      <c r="W306" s="214">
        <v>1</v>
      </c>
      <c r="X306" s="214">
        <v>1</v>
      </c>
      <c r="Y306" s="142"/>
      <c r="Z306" s="149">
        <f t="shared" si="445"/>
        <v>1109.05</v>
      </c>
      <c r="AA306" s="150">
        <f t="shared" si="446"/>
        <v>5.863612588235295</v>
      </c>
      <c r="AE306" s="582">
        <f t="shared" si="447"/>
        <v>0</v>
      </c>
      <c r="AF306" s="582">
        <f t="shared" si="448"/>
        <v>0</v>
      </c>
    </row>
    <row r="307" spans="2:32" ht="18" customHeight="1">
      <c r="B307" s="142" t="s">
        <v>491</v>
      </c>
      <c r="C307" s="221" t="s">
        <v>186</v>
      </c>
      <c r="D307" s="222">
        <v>0</v>
      </c>
      <c r="E307" s="51" t="s">
        <v>483</v>
      </c>
      <c r="F307" s="51" t="s">
        <v>484</v>
      </c>
      <c r="G307" s="63" t="s">
        <v>266</v>
      </c>
      <c r="H307" s="51" t="s">
        <v>476</v>
      </c>
      <c r="I307" s="51">
        <v>4</v>
      </c>
      <c r="J307" s="213">
        <v>2205</v>
      </c>
      <c r="K307" s="146">
        <f t="shared" si="539"/>
        <v>205</v>
      </c>
      <c r="L307" s="147">
        <f t="shared" si="540"/>
        <v>10.831717647058825</v>
      </c>
      <c r="M307" s="147">
        <f t="shared" si="541"/>
        <v>0</v>
      </c>
      <c r="N307" s="147">
        <f t="shared" si="542"/>
        <v>0</v>
      </c>
      <c r="O307" s="147">
        <f t="shared" si="543"/>
        <v>0</v>
      </c>
      <c r="P307" s="148">
        <f t="shared" si="450"/>
        <v>2.7079294117647064</v>
      </c>
      <c r="Q307" s="147">
        <f t="shared" si="451"/>
        <v>0</v>
      </c>
      <c r="R307" s="147">
        <f t="shared" si="452"/>
        <v>0</v>
      </c>
      <c r="S307" s="147">
        <f t="shared" si="453"/>
        <v>0</v>
      </c>
      <c r="T307" s="200" t="str">
        <f t="shared" si="544"/>
        <v>S</v>
      </c>
      <c r="U307" s="214">
        <v>1</v>
      </c>
      <c r="V307" s="214">
        <v>1</v>
      </c>
      <c r="W307" s="214">
        <v>1</v>
      </c>
      <c r="X307" s="214">
        <v>1</v>
      </c>
      <c r="Y307" s="142"/>
      <c r="Z307" s="149">
        <f t="shared" si="445"/>
        <v>820</v>
      </c>
      <c r="AA307" s="150">
        <f t="shared" si="446"/>
        <v>10.831717647058825</v>
      </c>
      <c r="AE307" s="582">
        <f t="shared" si="447"/>
        <v>0</v>
      </c>
      <c r="AF307" s="582">
        <f t="shared" si="448"/>
        <v>0</v>
      </c>
    </row>
    <row r="308" spans="2:32" ht="18" customHeight="1">
      <c r="B308" s="142" t="s">
        <v>491</v>
      </c>
      <c r="C308" s="221" t="s">
        <v>186</v>
      </c>
      <c r="D308" s="222">
        <v>0</v>
      </c>
      <c r="E308" s="51" t="s">
        <v>485</v>
      </c>
      <c r="F308" s="51" t="s">
        <v>160</v>
      </c>
      <c r="G308" s="63" t="s">
        <v>271</v>
      </c>
      <c r="H308" s="51" t="s">
        <v>296</v>
      </c>
      <c r="I308" s="51">
        <v>200.23</v>
      </c>
      <c r="J308" s="213">
        <v>19205</v>
      </c>
      <c r="K308" s="146">
        <f t="shared" si="539"/>
        <v>205</v>
      </c>
      <c r="L308" s="147">
        <f t="shared" si="540"/>
        <v>58.649133735294107</v>
      </c>
      <c r="M308" s="147">
        <f t="shared" si="541"/>
        <v>0</v>
      </c>
      <c r="N308" s="147">
        <f t="shared" si="542"/>
        <v>0</v>
      </c>
      <c r="O308" s="147">
        <f t="shared" si="543"/>
        <v>0</v>
      </c>
      <c r="P308" s="148">
        <f t="shared" si="450"/>
        <v>0.29290882352941172</v>
      </c>
      <c r="Q308" s="147">
        <f t="shared" si="451"/>
        <v>0</v>
      </c>
      <c r="R308" s="147">
        <f t="shared" si="452"/>
        <v>0</v>
      </c>
      <c r="S308" s="147">
        <f t="shared" si="453"/>
        <v>0</v>
      </c>
      <c r="T308" s="200" t="str">
        <f t="shared" si="544"/>
        <v>V</v>
      </c>
      <c r="U308" s="214">
        <v>1</v>
      </c>
      <c r="V308" s="214">
        <v>1</v>
      </c>
      <c r="W308" s="214">
        <v>1</v>
      </c>
      <c r="X308" s="214">
        <v>1</v>
      </c>
      <c r="Y308" s="142"/>
      <c r="Z308" s="149">
        <f t="shared" si="445"/>
        <v>41047.15</v>
      </c>
      <c r="AA308" s="150">
        <f t="shared" si="446"/>
        <v>58.649133735294107</v>
      </c>
      <c r="AE308" s="582">
        <f t="shared" si="447"/>
        <v>0</v>
      </c>
      <c r="AF308" s="582">
        <f t="shared" si="448"/>
        <v>0</v>
      </c>
    </row>
    <row r="309" spans="2:32" ht="18" customHeight="1">
      <c r="B309" s="142" t="s">
        <v>491</v>
      </c>
      <c r="C309" s="221" t="s">
        <v>186</v>
      </c>
      <c r="D309" s="222">
        <v>0</v>
      </c>
      <c r="E309" s="51" t="s">
        <v>487</v>
      </c>
      <c r="F309" s="51" t="s">
        <v>488</v>
      </c>
      <c r="G309" s="63" t="s">
        <v>271</v>
      </c>
      <c r="H309" s="51" t="s">
        <v>486</v>
      </c>
      <c r="I309" s="51">
        <v>38.67</v>
      </c>
      <c r="J309" s="213">
        <v>19205</v>
      </c>
      <c r="K309" s="146">
        <f t="shared" ref="K309" si="545">SUM(IF(J309="",0,VLOOKUP(J309,Kengetal,2)))</f>
        <v>205</v>
      </c>
      <c r="L309" s="147">
        <f t="shared" ref="L309" si="546">P309*I309*U309</f>
        <v>11.326784205882351</v>
      </c>
      <c r="M309" s="147">
        <f t="shared" ref="M309" si="547">Q309*I309*V309</f>
        <v>0</v>
      </c>
      <c r="N309" s="147">
        <f t="shared" ref="N309" si="548">R309*I309*W309</f>
        <v>0</v>
      </c>
      <c r="O309" s="147">
        <f t="shared" ref="O309" si="549">S309*I309*X309</f>
        <v>0</v>
      </c>
      <c r="P309" s="148">
        <f t="shared" si="450"/>
        <v>0.29290882352941172</v>
      </c>
      <c r="Q309" s="147">
        <f t="shared" si="451"/>
        <v>0</v>
      </c>
      <c r="R309" s="147">
        <f t="shared" si="452"/>
        <v>0</v>
      </c>
      <c r="S309" s="147">
        <f t="shared" si="453"/>
        <v>0</v>
      </c>
      <c r="T309" s="200" t="str">
        <f t="shared" ref="T309" si="550">IF(J309="","",VLOOKUP(J309,Kengetal,13,FALSE))</f>
        <v>V</v>
      </c>
      <c r="U309" s="214">
        <v>1</v>
      </c>
      <c r="V309" s="214">
        <v>1</v>
      </c>
      <c r="W309" s="214">
        <v>1</v>
      </c>
      <c r="X309" s="214">
        <v>1</v>
      </c>
      <c r="Y309" s="142"/>
      <c r="Z309" s="149">
        <f t="shared" si="445"/>
        <v>7927.35</v>
      </c>
      <c r="AA309" s="150">
        <f t="shared" si="446"/>
        <v>11.326784205882351</v>
      </c>
      <c r="AE309" s="582">
        <f t="shared" si="447"/>
        <v>0</v>
      </c>
      <c r="AF309" s="582">
        <f t="shared" si="448"/>
        <v>0</v>
      </c>
    </row>
    <row r="310" spans="2:32" ht="18" customHeight="1">
      <c r="B310" s="142" t="s">
        <v>260</v>
      </c>
      <c r="C310" s="221" t="s">
        <v>187</v>
      </c>
      <c r="D310" s="222">
        <v>0</v>
      </c>
      <c r="E310" s="51">
        <v>1</v>
      </c>
      <c r="F310" s="51" t="s">
        <v>144</v>
      </c>
      <c r="G310" s="63" t="s">
        <v>271</v>
      </c>
      <c r="H310" s="51" t="s">
        <v>76</v>
      </c>
      <c r="I310" s="51">
        <v>4</v>
      </c>
      <c r="J310" s="213">
        <v>8255</v>
      </c>
      <c r="K310" s="146">
        <f t="shared" ref="K310:K311" si="551">SUM(IF(J310="",0,VLOOKUP(J310,Kengetal,2)))</f>
        <v>255</v>
      </c>
      <c r="L310" s="147">
        <f t="shared" ref="L310:L311" si="552">P310*I310*U310</f>
        <v>8</v>
      </c>
      <c r="M310" s="147">
        <f t="shared" ref="M310:M311" si="553">Q310*I310*V310</f>
        <v>0</v>
      </c>
      <c r="N310" s="147">
        <f t="shared" ref="N310:N311" si="554">R310*I310*W310</f>
        <v>0</v>
      </c>
      <c r="O310" s="147">
        <f t="shared" ref="O310:O311" si="555">S310*I310*X310</f>
        <v>0</v>
      </c>
      <c r="P310" s="148">
        <f t="shared" si="450"/>
        <v>2</v>
      </c>
      <c r="Q310" s="147">
        <f t="shared" si="451"/>
        <v>0</v>
      </c>
      <c r="R310" s="147">
        <f t="shared" si="452"/>
        <v>0</v>
      </c>
      <c r="S310" s="147">
        <f t="shared" si="453"/>
        <v>0</v>
      </c>
      <c r="T310" s="200" t="str">
        <f t="shared" ref="T310:T311" si="556">IF(J310="","",VLOOKUP(J310,Kengetal,13,FALSE))</f>
        <v>V</v>
      </c>
      <c r="U310" s="214">
        <v>1</v>
      </c>
      <c r="V310" s="214">
        <v>1</v>
      </c>
      <c r="W310" s="214">
        <v>1</v>
      </c>
      <c r="X310" s="214">
        <v>1</v>
      </c>
      <c r="Y310" s="142"/>
      <c r="Z310" s="149">
        <f t="shared" si="445"/>
        <v>1020</v>
      </c>
      <c r="AA310" s="150">
        <f t="shared" si="446"/>
        <v>8</v>
      </c>
      <c r="AE310" s="582">
        <f t="shared" si="447"/>
        <v>0</v>
      </c>
      <c r="AF310" s="582">
        <f t="shared" si="448"/>
        <v>4</v>
      </c>
    </row>
    <row r="311" spans="2:32" ht="18" customHeight="1">
      <c r="B311" s="142" t="s">
        <v>260</v>
      </c>
      <c r="C311" s="221" t="s">
        <v>187</v>
      </c>
      <c r="D311" s="222">
        <v>0</v>
      </c>
      <c r="E311" s="210">
        <v>2</v>
      </c>
      <c r="F311" s="51" t="s">
        <v>353</v>
      </c>
      <c r="G311" s="63" t="s">
        <v>271</v>
      </c>
      <c r="H311" s="51" t="s">
        <v>272</v>
      </c>
      <c r="I311" s="51">
        <v>16.7</v>
      </c>
      <c r="J311" s="213">
        <v>3255</v>
      </c>
      <c r="K311" s="146">
        <f t="shared" si="551"/>
        <v>255</v>
      </c>
      <c r="L311" s="147">
        <f t="shared" si="552"/>
        <v>6.2458</v>
      </c>
      <c r="M311" s="147">
        <f t="shared" si="553"/>
        <v>0</v>
      </c>
      <c r="N311" s="147">
        <f t="shared" si="554"/>
        <v>0</v>
      </c>
      <c r="O311" s="147">
        <f t="shared" si="555"/>
        <v>0</v>
      </c>
      <c r="P311" s="148">
        <f t="shared" si="450"/>
        <v>0.374</v>
      </c>
      <c r="Q311" s="147">
        <f t="shared" si="451"/>
        <v>0</v>
      </c>
      <c r="R311" s="147">
        <f t="shared" si="452"/>
        <v>0</v>
      </c>
      <c r="S311" s="147">
        <f t="shared" si="453"/>
        <v>0</v>
      </c>
      <c r="T311" s="200" t="str">
        <f t="shared" si="556"/>
        <v>V</v>
      </c>
      <c r="U311" s="214">
        <v>1</v>
      </c>
      <c r="V311" s="214">
        <v>1</v>
      </c>
      <c r="W311" s="214">
        <v>1</v>
      </c>
      <c r="X311" s="214">
        <v>1</v>
      </c>
      <c r="Y311" s="142"/>
      <c r="Z311" s="149">
        <f t="shared" si="445"/>
        <v>4258.5</v>
      </c>
      <c r="AA311" s="150">
        <f t="shared" si="446"/>
        <v>6.2458</v>
      </c>
      <c r="AE311" s="582">
        <f t="shared" si="447"/>
        <v>0</v>
      </c>
      <c r="AF311" s="582">
        <f t="shared" si="448"/>
        <v>0</v>
      </c>
    </row>
    <row r="312" spans="2:32" ht="18" customHeight="1">
      <c r="B312" s="142" t="s">
        <v>260</v>
      </c>
      <c r="C312" s="221" t="s">
        <v>187</v>
      </c>
      <c r="D312" s="222">
        <v>0</v>
      </c>
      <c r="E312" s="210">
        <v>3</v>
      </c>
      <c r="F312" s="51" t="s">
        <v>458</v>
      </c>
      <c r="G312" s="63" t="s">
        <v>271</v>
      </c>
      <c r="H312" s="51" t="s">
        <v>272</v>
      </c>
      <c r="I312" s="51">
        <v>14.9</v>
      </c>
      <c r="J312" s="213">
        <v>11255</v>
      </c>
      <c r="K312" s="146">
        <f t="shared" ref="K312" si="557">SUM(IF(J312="",0,VLOOKUP(J312,Kengetal,2)))</f>
        <v>255</v>
      </c>
      <c r="L312" s="147">
        <f t="shared" ref="L312" si="558">P312*I312*U312</f>
        <v>19.131600000000002</v>
      </c>
      <c r="M312" s="147">
        <f t="shared" ref="M312" si="559">Q312*I312*V312</f>
        <v>0</v>
      </c>
      <c r="N312" s="147">
        <f t="shared" ref="N312" si="560">R312*I312*W312</f>
        <v>0</v>
      </c>
      <c r="O312" s="147">
        <f t="shared" ref="O312" si="561">S312*I312*X312</f>
        <v>0</v>
      </c>
      <c r="P312" s="148">
        <f t="shared" si="450"/>
        <v>1.284</v>
      </c>
      <c r="Q312" s="147">
        <f t="shared" si="451"/>
        <v>0</v>
      </c>
      <c r="R312" s="147">
        <f t="shared" si="452"/>
        <v>0</v>
      </c>
      <c r="S312" s="147">
        <f t="shared" si="453"/>
        <v>0</v>
      </c>
      <c r="T312" s="200" t="str">
        <f t="shared" ref="T312" si="562">IF(J312="","",VLOOKUP(J312,Kengetal,13,FALSE))</f>
        <v>S</v>
      </c>
      <c r="U312" s="214">
        <v>1</v>
      </c>
      <c r="V312" s="214">
        <v>1</v>
      </c>
      <c r="W312" s="214">
        <v>1</v>
      </c>
      <c r="X312" s="214">
        <v>1</v>
      </c>
      <c r="Y312" s="142"/>
      <c r="Z312" s="149">
        <f t="shared" si="445"/>
        <v>3799.5</v>
      </c>
      <c r="AA312" s="150">
        <f t="shared" si="446"/>
        <v>19.131600000000002</v>
      </c>
      <c r="AE312" s="582">
        <f t="shared" si="447"/>
        <v>0</v>
      </c>
      <c r="AF312" s="582">
        <f t="shared" si="448"/>
        <v>0</v>
      </c>
    </row>
    <row r="313" spans="2:32" ht="18" customHeight="1">
      <c r="B313" s="142" t="s">
        <v>260</v>
      </c>
      <c r="C313" s="221" t="s">
        <v>187</v>
      </c>
      <c r="D313" s="222">
        <v>0</v>
      </c>
      <c r="E313" s="210">
        <v>4</v>
      </c>
      <c r="F313" s="51" t="s">
        <v>451</v>
      </c>
      <c r="G313" s="63" t="s">
        <v>266</v>
      </c>
      <c r="H313" s="51" t="s">
        <v>272</v>
      </c>
      <c r="I313" s="51">
        <v>3.2</v>
      </c>
      <c r="J313" s="213">
        <v>2255</v>
      </c>
      <c r="K313" s="146">
        <f t="shared" si="449"/>
        <v>255</v>
      </c>
      <c r="L313" s="147">
        <f t="shared" si="1"/>
        <v>10.265600000000001</v>
      </c>
      <c r="M313" s="147">
        <f t="shared" si="2"/>
        <v>0</v>
      </c>
      <c r="N313" s="147">
        <f t="shared" si="3"/>
        <v>0</v>
      </c>
      <c r="O313" s="147">
        <f t="shared" si="4"/>
        <v>0</v>
      </c>
      <c r="P313" s="148">
        <f t="shared" si="450"/>
        <v>3.2080000000000002</v>
      </c>
      <c r="Q313" s="147">
        <f t="shared" si="451"/>
        <v>0</v>
      </c>
      <c r="R313" s="147">
        <f t="shared" si="452"/>
        <v>0</v>
      </c>
      <c r="S313" s="147">
        <f t="shared" si="453"/>
        <v>0</v>
      </c>
      <c r="T313" s="200" t="str">
        <f t="shared" si="454"/>
        <v>S</v>
      </c>
      <c r="U313" s="214">
        <v>1</v>
      </c>
      <c r="V313" s="214">
        <v>1</v>
      </c>
      <c r="W313" s="214">
        <v>1</v>
      </c>
      <c r="X313" s="214">
        <v>1</v>
      </c>
      <c r="Y313" s="142"/>
      <c r="Z313" s="149">
        <f t="shared" si="445"/>
        <v>816</v>
      </c>
      <c r="AA313" s="150">
        <f t="shared" si="446"/>
        <v>10.265600000000001</v>
      </c>
      <c r="AE313" s="582">
        <f t="shared" si="447"/>
        <v>0</v>
      </c>
      <c r="AF313" s="582">
        <f t="shared" si="448"/>
        <v>0</v>
      </c>
    </row>
    <row r="314" spans="2:32" ht="18" customHeight="1">
      <c r="B314" s="142" t="s">
        <v>260</v>
      </c>
      <c r="C314" s="221" t="s">
        <v>187</v>
      </c>
      <c r="D314" s="222">
        <v>0</v>
      </c>
      <c r="E314" s="210">
        <v>5</v>
      </c>
      <c r="F314" s="51" t="s">
        <v>363</v>
      </c>
      <c r="G314" s="63" t="s">
        <v>266</v>
      </c>
      <c r="H314" s="51" t="s">
        <v>272</v>
      </c>
      <c r="I314" s="51">
        <v>6.9</v>
      </c>
      <c r="J314" s="213">
        <v>2255</v>
      </c>
      <c r="K314" s="146">
        <f t="shared" si="449"/>
        <v>255</v>
      </c>
      <c r="L314" s="147">
        <f t="shared" si="1"/>
        <v>22.135200000000001</v>
      </c>
      <c r="M314" s="147">
        <f t="shared" si="2"/>
        <v>0</v>
      </c>
      <c r="N314" s="147">
        <f t="shared" si="3"/>
        <v>0</v>
      </c>
      <c r="O314" s="147">
        <f t="shared" si="4"/>
        <v>0</v>
      </c>
      <c r="P314" s="148">
        <f t="shared" si="450"/>
        <v>3.2080000000000002</v>
      </c>
      <c r="Q314" s="147">
        <f t="shared" si="451"/>
        <v>0</v>
      </c>
      <c r="R314" s="147">
        <f t="shared" si="452"/>
        <v>0</v>
      </c>
      <c r="S314" s="147">
        <f t="shared" si="453"/>
        <v>0</v>
      </c>
      <c r="T314" s="200" t="str">
        <f t="shared" si="454"/>
        <v>S</v>
      </c>
      <c r="U314" s="214">
        <v>1</v>
      </c>
      <c r="V314" s="214">
        <v>1</v>
      </c>
      <c r="W314" s="214">
        <v>1</v>
      </c>
      <c r="X314" s="214">
        <v>1</v>
      </c>
      <c r="Y314" s="142"/>
      <c r="Z314" s="149">
        <f t="shared" si="445"/>
        <v>1759.5</v>
      </c>
      <c r="AA314" s="150">
        <f t="shared" si="446"/>
        <v>22.135200000000001</v>
      </c>
      <c r="AE314" s="582">
        <f t="shared" si="447"/>
        <v>0</v>
      </c>
      <c r="AF314" s="582">
        <f t="shared" si="448"/>
        <v>0</v>
      </c>
    </row>
    <row r="315" spans="2:32" ht="18" customHeight="1">
      <c r="B315" s="142" t="s">
        <v>260</v>
      </c>
      <c r="C315" s="221" t="s">
        <v>187</v>
      </c>
      <c r="D315" s="222">
        <v>0</v>
      </c>
      <c r="E315" s="210">
        <v>6</v>
      </c>
      <c r="F315" s="51" t="s">
        <v>363</v>
      </c>
      <c r="G315" s="63" t="s">
        <v>266</v>
      </c>
      <c r="H315" s="51" t="s">
        <v>272</v>
      </c>
      <c r="I315" s="51">
        <v>4.3</v>
      </c>
      <c r="J315" s="213">
        <v>2255</v>
      </c>
      <c r="K315" s="146">
        <f t="shared" si="449"/>
        <v>255</v>
      </c>
      <c r="L315" s="147">
        <f t="shared" si="1"/>
        <v>13.7944</v>
      </c>
      <c r="M315" s="147">
        <f t="shared" si="2"/>
        <v>0</v>
      </c>
      <c r="N315" s="147">
        <f t="shared" si="3"/>
        <v>0</v>
      </c>
      <c r="O315" s="147">
        <f t="shared" si="4"/>
        <v>0</v>
      </c>
      <c r="P315" s="148">
        <f t="shared" si="450"/>
        <v>3.2080000000000002</v>
      </c>
      <c r="Q315" s="147">
        <f t="shared" si="451"/>
        <v>0</v>
      </c>
      <c r="R315" s="147">
        <f t="shared" si="452"/>
        <v>0</v>
      </c>
      <c r="S315" s="147">
        <f t="shared" si="453"/>
        <v>0</v>
      </c>
      <c r="T315" s="200" t="str">
        <f t="shared" si="454"/>
        <v>S</v>
      </c>
      <c r="U315" s="214">
        <v>1</v>
      </c>
      <c r="V315" s="214">
        <v>1</v>
      </c>
      <c r="W315" s="214">
        <v>1</v>
      </c>
      <c r="X315" s="214">
        <v>1</v>
      </c>
      <c r="Y315" s="142"/>
      <c r="Z315" s="149">
        <f t="shared" si="445"/>
        <v>1096.5</v>
      </c>
      <c r="AA315" s="150">
        <f t="shared" si="446"/>
        <v>13.7944</v>
      </c>
      <c r="AE315" s="582">
        <f t="shared" si="447"/>
        <v>0</v>
      </c>
      <c r="AF315" s="582">
        <f t="shared" si="448"/>
        <v>0</v>
      </c>
    </row>
    <row r="316" spans="2:32" ht="18" customHeight="1">
      <c r="B316" s="142" t="s">
        <v>260</v>
      </c>
      <c r="C316" s="221" t="s">
        <v>187</v>
      </c>
      <c r="D316" s="222">
        <v>0</v>
      </c>
      <c r="E316" s="210">
        <v>8</v>
      </c>
      <c r="F316" s="51" t="s">
        <v>278</v>
      </c>
      <c r="G316" s="63" t="s">
        <v>271</v>
      </c>
      <c r="H316" s="51" t="s">
        <v>272</v>
      </c>
      <c r="I316" s="51">
        <v>3.3</v>
      </c>
      <c r="J316" s="213" t="s">
        <v>161</v>
      </c>
      <c r="K316" s="146">
        <f t="shared" si="449"/>
        <v>0</v>
      </c>
      <c r="L316" s="147">
        <f t="shared" si="1"/>
        <v>0</v>
      </c>
      <c r="M316" s="147">
        <f t="shared" si="2"/>
        <v>0</v>
      </c>
      <c r="N316" s="147">
        <f t="shared" si="3"/>
        <v>0</v>
      </c>
      <c r="O316" s="147">
        <f t="shared" si="4"/>
        <v>0</v>
      </c>
      <c r="P316" s="148">
        <f t="shared" si="450"/>
        <v>0</v>
      </c>
      <c r="Q316" s="147">
        <f t="shared" si="451"/>
        <v>0</v>
      </c>
      <c r="R316" s="147">
        <f t="shared" si="452"/>
        <v>0</v>
      </c>
      <c r="S316" s="147">
        <f t="shared" si="453"/>
        <v>0</v>
      </c>
      <c r="T316" s="200" t="str">
        <f t="shared" si="454"/>
        <v>nvt</v>
      </c>
      <c r="U316" s="214">
        <v>1</v>
      </c>
      <c r="V316" s="214">
        <v>1</v>
      </c>
      <c r="W316" s="214">
        <v>1</v>
      </c>
      <c r="X316" s="214">
        <v>1</v>
      </c>
      <c r="Y316" s="142"/>
      <c r="Z316" s="149">
        <f t="shared" ref="Z316:Z379" si="563">I316*K316</f>
        <v>0</v>
      </c>
      <c r="AA316" s="150">
        <f t="shared" ref="AA316:AA379" si="564">L316+M316+N316+O316</f>
        <v>0</v>
      </c>
      <c r="AE316" s="582">
        <f t="shared" ref="AE316:AE379" si="565">SUMIF(H316,"Linoleum",I316)</f>
        <v>0</v>
      </c>
      <c r="AF316" s="582">
        <f t="shared" ref="AF316:AF379" si="566">SUMIF(H316,"Tapijt",I316)</f>
        <v>0</v>
      </c>
    </row>
    <row r="317" spans="2:32" ht="18" customHeight="1">
      <c r="B317" s="142" t="s">
        <v>260</v>
      </c>
      <c r="C317" s="221" t="s">
        <v>187</v>
      </c>
      <c r="D317" s="222">
        <v>0</v>
      </c>
      <c r="E317" s="210">
        <v>9</v>
      </c>
      <c r="F317" s="51" t="s">
        <v>262</v>
      </c>
      <c r="G317" s="63" t="s">
        <v>263</v>
      </c>
      <c r="H317" s="51" t="s">
        <v>418</v>
      </c>
      <c r="I317" s="51">
        <v>25.85</v>
      </c>
      <c r="J317" s="213">
        <v>1104</v>
      </c>
      <c r="K317" s="146">
        <f t="shared" si="449"/>
        <v>104</v>
      </c>
      <c r="L317" s="147">
        <f t="shared" si="1"/>
        <v>6.831698823529412</v>
      </c>
      <c r="M317" s="147">
        <f t="shared" si="2"/>
        <v>0</v>
      </c>
      <c r="N317" s="147">
        <f t="shared" si="3"/>
        <v>0</v>
      </c>
      <c r="O317" s="147">
        <f t="shared" si="4"/>
        <v>0</v>
      </c>
      <c r="P317" s="148">
        <f t="shared" si="450"/>
        <v>0.26428235294117647</v>
      </c>
      <c r="Q317" s="147">
        <f t="shared" si="451"/>
        <v>0</v>
      </c>
      <c r="R317" s="147">
        <f t="shared" si="452"/>
        <v>0</v>
      </c>
      <c r="S317" s="147">
        <f t="shared" si="453"/>
        <v>0</v>
      </c>
      <c r="T317" s="200" t="str">
        <f t="shared" si="454"/>
        <v>B</v>
      </c>
      <c r="U317" s="214">
        <v>1</v>
      </c>
      <c r="V317" s="214">
        <v>1</v>
      </c>
      <c r="W317" s="214">
        <v>1</v>
      </c>
      <c r="X317" s="214">
        <v>1</v>
      </c>
      <c r="Y317" s="142"/>
      <c r="Z317" s="149">
        <f t="shared" si="563"/>
        <v>2688.4</v>
      </c>
      <c r="AA317" s="150">
        <f t="shared" si="564"/>
        <v>6.831698823529412</v>
      </c>
      <c r="AE317" s="582">
        <f t="shared" si="565"/>
        <v>25.85</v>
      </c>
      <c r="AF317" s="582">
        <f t="shared" si="566"/>
        <v>0</v>
      </c>
    </row>
    <row r="318" spans="2:32" ht="18" customHeight="1">
      <c r="B318" s="142" t="s">
        <v>260</v>
      </c>
      <c r="C318" s="221" t="s">
        <v>187</v>
      </c>
      <c r="D318" s="222">
        <v>0</v>
      </c>
      <c r="E318" s="210" t="s">
        <v>492</v>
      </c>
      <c r="F318" s="51" t="s">
        <v>493</v>
      </c>
      <c r="G318" s="63" t="s">
        <v>271</v>
      </c>
      <c r="H318" s="51" t="s">
        <v>279</v>
      </c>
      <c r="I318" s="51">
        <v>1.7</v>
      </c>
      <c r="J318" s="213" t="s">
        <v>161</v>
      </c>
      <c r="K318" s="146">
        <f t="shared" si="449"/>
        <v>0</v>
      </c>
      <c r="L318" s="147">
        <f t="shared" si="1"/>
        <v>0</v>
      </c>
      <c r="M318" s="147">
        <f t="shared" si="2"/>
        <v>0</v>
      </c>
      <c r="N318" s="147">
        <f t="shared" si="3"/>
        <v>0</v>
      </c>
      <c r="O318" s="147">
        <f t="shared" si="4"/>
        <v>0</v>
      </c>
      <c r="P318" s="148">
        <f t="shared" si="450"/>
        <v>0</v>
      </c>
      <c r="Q318" s="147">
        <f t="shared" si="451"/>
        <v>0</v>
      </c>
      <c r="R318" s="147">
        <f t="shared" si="452"/>
        <v>0</v>
      </c>
      <c r="S318" s="147">
        <f t="shared" si="453"/>
        <v>0</v>
      </c>
      <c r="T318" s="200" t="str">
        <f t="shared" si="454"/>
        <v>nvt</v>
      </c>
      <c r="U318" s="214">
        <v>1</v>
      </c>
      <c r="V318" s="214">
        <v>1</v>
      </c>
      <c r="W318" s="214">
        <v>1</v>
      </c>
      <c r="X318" s="214">
        <v>1</v>
      </c>
      <c r="Y318" s="142"/>
      <c r="Z318" s="149">
        <f t="shared" si="563"/>
        <v>0</v>
      </c>
      <c r="AA318" s="150">
        <f t="shared" si="564"/>
        <v>0</v>
      </c>
      <c r="AE318" s="582">
        <f t="shared" si="565"/>
        <v>0</v>
      </c>
      <c r="AF318" s="582">
        <f t="shared" si="566"/>
        <v>0</v>
      </c>
    </row>
    <row r="319" spans="2:32" ht="18" customHeight="1">
      <c r="B319" s="142" t="s">
        <v>260</v>
      </c>
      <c r="C319" s="221" t="s">
        <v>187</v>
      </c>
      <c r="D319" s="222">
        <v>0</v>
      </c>
      <c r="E319" s="210" t="s">
        <v>494</v>
      </c>
      <c r="F319" s="51" t="s">
        <v>353</v>
      </c>
      <c r="G319" s="63" t="s">
        <v>271</v>
      </c>
      <c r="H319" s="51" t="s">
        <v>76</v>
      </c>
      <c r="I319" s="51">
        <v>11.7</v>
      </c>
      <c r="J319" s="213">
        <v>3255</v>
      </c>
      <c r="K319" s="146">
        <f t="shared" si="449"/>
        <v>255</v>
      </c>
      <c r="L319" s="147">
        <f t="shared" si="1"/>
        <v>4.3757999999999999</v>
      </c>
      <c r="M319" s="147">
        <f t="shared" si="2"/>
        <v>0</v>
      </c>
      <c r="N319" s="147">
        <f t="shared" si="3"/>
        <v>0</v>
      </c>
      <c r="O319" s="147">
        <f t="shared" si="4"/>
        <v>0</v>
      </c>
      <c r="P319" s="148">
        <f t="shared" si="450"/>
        <v>0.374</v>
      </c>
      <c r="Q319" s="147">
        <f t="shared" si="451"/>
        <v>0</v>
      </c>
      <c r="R319" s="147">
        <f t="shared" si="452"/>
        <v>0</v>
      </c>
      <c r="S319" s="147">
        <f t="shared" si="453"/>
        <v>0</v>
      </c>
      <c r="T319" s="200" t="str">
        <f t="shared" si="454"/>
        <v>V</v>
      </c>
      <c r="U319" s="214">
        <v>1</v>
      </c>
      <c r="V319" s="214">
        <v>1</v>
      </c>
      <c r="W319" s="214">
        <v>1</v>
      </c>
      <c r="X319" s="214">
        <v>1</v>
      </c>
      <c r="Y319" s="142"/>
      <c r="Z319" s="149">
        <f t="shared" si="563"/>
        <v>2983.5</v>
      </c>
      <c r="AA319" s="150">
        <f t="shared" si="564"/>
        <v>4.3757999999999999</v>
      </c>
      <c r="AE319" s="582">
        <f t="shared" si="565"/>
        <v>0</v>
      </c>
      <c r="AF319" s="582">
        <f t="shared" si="566"/>
        <v>11.7</v>
      </c>
    </row>
    <row r="320" spans="2:32" ht="18" customHeight="1">
      <c r="B320" s="142" t="s">
        <v>260</v>
      </c>
      <c r="C320" s="221" t="s">
        <v>187</v>
      </c>
      <c r="D320" s="222">
        <v>0</v>
      </c>
      <c r="E320" s="210">
        <v>10</v>
      </c>
      <c r="F320" s="51" t="s">
        <v>458</v>
      </c>
      <c r="G320" s="63" t="s">
        <v>271</v>
      </c>
      <c r="H320" s="51" t="s">
        <v>272</v>
      </c>
      <c r="I320" s="51">
        <v>22.7</v>
      </c>
      <c r="J320" s="213">
        <v>11255</v>
      </c>
      <c r="K320" s="146">
        <f t="shared" si="449"/>
        <v>255</v>
      </c>
      <c r="L320" s="147">
        <f t="shared" si="1"/>
        <v>29.146799999999999</v>
      </c>
      <c r="M320" s="147">
        <f t="shared" si="2"/>
        <v>0</v>
      </c>
      <c r="N320" s="147">
        <f t="shared" si="3"/>
        <v>0</v>
      </c>
      <c r="O320" s="147">
        <f t="shared" si="4"/>
        <v>0</v>
      </c>
      <c r="P320" s="148">
        <f t="shared" si="450"/>
        <v>1.284</v>
      </c>
      <c r="Q320" s="147">
        <f t="shared" si="451"/>
        <v>0</v>
      </c>
      <c r="R320" s="147">
        <f t="shared" si="452"/>
        <v>0</v>
      </c>
      <c r="S320" s="147">
        <f t="shared" si="453"/>
        <v>0</v>
      </c>
      <c r="T320" s="200" t="str">
        <f t="shared" si="454"/>
        <v>S</v>
      </c>
      <c r="U320" s="214">
        <v>1</v>
      </c>
      <c r="V320" s="214">
        <v>1</v>
      </c>
      <c r="W320" s="214">
        <v>1</v>
      </c>
      <c r="X320" s="214">
        <v>1</v>
      </c>
      <c r="Y320" s="142"/>
      <c r="Z320" s="149">
        <f t="shared" si="563"/>
        <v>5788.5</v>
      </c>
      <c r="AA320" s="150">
        <f t="shared" si="564"/>
        <v>29.146799999999999</v>
      </c>
      <c r="AE320" s="582">
        <f t="shared" si="565"/>
        <v>0</v>
      </c>
      <c r="AF320" s="582">
        <f t="shared" si="566"/>
        <v>0</v>
      </c>
    </row>
    <row r="321" spans="2:32" ht="18" customHeight="1">
      <c r="B321" s="142" t="s">
        <v>260</v>
      </c>
      <c r="C321" s="221" t="s">
        <v>187</v>
      </c>
      <c r="D321" s="222">
        <v>0</v>
      </c>
      <c r="E321" s="210">
        <v>11</v>
      </c>
      <c r="F321" s="51" t="s">
        <v>451</v>
      </c>
      <c r="G321" s="63" t="s">
        <v>266</v>
      </c>
      <c r="H321" s="51" t="s">
        <v>272</v>
      </c>
      <c r="I321" s="51">
        <v>13.3</v>
      </c>
      <c r="J321" s="213">
        <v>2255</v>
      </c>
      <c r="K321" s="146">
        <f t="shared" si="449"/>
        <v>255</v>
      </c>
      <c r="L321" s="147">
        <f t="shared" si="1"/>
        <v>42.666400000000003</v>
      </c>
      <c r="M321" s="147">
        <f t="shared" si="2"/>
        <v>0</v>
      </c>
      <c r="N321" s="147">
        <f t="shared" si="3"/>
        <v>0</v>
      </c>
      <c r="O321" s="147">
        <f t="shared" si="4"/>
        <v>0</v>
      </c>
      <c r="P321" s="148">
        <f t="shared" si="450"/>
        <v>3.2080000000000002</v>
      </c>
      <c r="Q321" s="147">
        <f t="shared" si="451"/>
        <v>0</v>
      </c>
      <c r="R321" s="147">
        <f t="shared" si="452"/>
        <v>0</v>
      </c>
      <c r="S321" s="147">
        <f t="shared" si="453"/>
        <v>0</v>
      </c>
      <c r="T321" s="200" t="str">
        <f t="shared" si="454"/>
        <v>S</v>
      </c>
      <c r="U321" s="214">
        <v>1</v>
      </c>
      <c r="V321" s="214">
        <v>1</v>
      </c>
      <c r="W321" s="214">
        <v>1</v>
      </c>
      <c r="X321" s="214">
        <v>1</v>
      </c>
      <c r="Y321" s="142"/>
      <c r="Z321" s="149">
        <f t="shared" si="563"/>
        <v>3391.5</v>
      </c>
      <c r="AA321" s="150">
        <f t="shared" si="564"/>
        <v>42.666400000000003</v>
      </c>
      <c r="AE321" s="582">
        <f t="shared" si="565"/>
        <v>0</v>
      </c>
      <c r="AF321" s="582">
        <f t="shared" si="566"/>
        <v>0</v>
      </c>
    </row>
    <row r="322" spans="2:32" ht="18" customHeight="1">
      <c r="B322" s="142" t="s">
        <v>260</v>
      </c>
      <c r="C322" s="221" t="s">
        <v>187</v>
      </c>
      <c r="D322" s="222">
        <v>0</v>
      </c>
      <c r="E322" s="210">
        <v>12</v>
      </c>
      <c r="F322" s="51" t="s">
        <v>451</v>
      </c>
      <c r="G322" s="63" t="s">
        <v>266</v>
      </c>
      <c r="H322" s="51" t="s">
        <v>272</v>
      </c>
      <c r="I322" s="51">
        <v>3.6</v>
      </c>
      <c r="J322" s="213">
        <v>2255</v>
      </c>
      <c r="K322" s="146">
        <f t="shared" si="449"/>
        <v>255</v>
      </c>
      <c r="L322" s="147">
        <f t="shared" si="1"/>
        <v>11.548800000000002</v>
      </c>
      <c r="M322" s="147">
        <f t="shared" si="2"/>
        <v>0</v>
      </c>
      <c r="N322" s="147">
        <f t="shared" si="3"/>
        <v>0</v>
      </c>
      <c r="O322" s="147">
        <f t="shared" si="4"/>
        <v>0</v>
      </c>
      <c r="P322" s="148">
        <f t="shared" si="450"/>
        <v>3.2080000000000002</v>
      </c>
      <c r="Q322" s="147">
        <f t="shared" si="451"/>
        <v>0</v>
      </c>
      <c r="R322" s="147">
        <f t="shared" si="452"/>
        <v>0</v>
      </c>
      <c r="S322" s="147">
        <f t="shared" si="453"/>
        <v>0</v>
      </c>
      <c r="T322" s="200" t="str">
        <f t="shared" si="454"/>
        <v>S</v>
      </c>
      <c r="U322" s="214">
        <v>1</v>
      </c>
      <c r="V322" s="214">
        <v>1</v>
      </c>
      <c r="W322" s="214">
        <v>1</v>
      </c>
      <c r="X322" s="214">
        <v>1</v>
      </c>
      <c r="Y322" s="142"/>
      <c r="Z322" s="149">
        <f t="shared" si="563"/>
        <v>918</v>
      </c>
      <c r="AA322" s="150">
        <f t="shared" si="564"/>
        <v>11.548800000000002</v>
      </c>
      <c r="AE322" s="582">
        <f t="shared" si="565"/>
        <v>0</v>
      </c>
      <c r="AF322" s="582">
        <f t="shared" si="566"/>
        <v>0</v>
      </c>
    </row>
    <row r="323" spans="2:32" ht="18" customHeight="1">
      <c r="B323" s="142" t="s">
        <v>260</v>
      </c>
      <c r="C323" s="221" t="s">
        <v>187</v>
      </c>
      <c r="D323" s="222">
        <v>0</v>
      </c>
      <c r="E323" s="210">
        <v>13</v>
      </c>
      <c r="F323" s="51" t="s">
        <v>451</v>
      </c>
      <c r="G323" s="63" t="s">
        <v>266</v>
      </c>
      <c r="H323" s="51" t="s">
        <v>272</v>
      </c>
      <c r="I323" s="51">
        <v>2.8</v>
      </c>
      <c r="J323" s="213">
        <v>2255</v>
      </c>
      <c r="K323" s="146">
        <f t="shared" si="449"/>
        <v>255</v>
      </c>
      <c r="L323" s="147">
        <f t="shared" si="1"/>
        <v>8.9824000000000002</v>
      </c>
      <c r="M323" s="147">
        <f t="shared" si="2"/>
        <v>0</v>
      </c>
      <c r="N323" s="147">
        <f t="shared" si="3"/>
        <v>0</v>
      </c>
      <c r="O323" s="147">
        <f t="shared" si="4"/>
        <v>0</v>
      </c>
      <c r="P323" s="148">
        <f t="shared" si="450"/>
        <v>3.2080000000000002</v>
      </c>
      <c r="Q323" s="147">
        <f t="shared" si="451"/>
        <v>0</v>
      </c>
      <c r="R323" s="147">
        <f t="shared" si="452"/>
        <v>0</v>
      </c>
      <c r="S323" s="147">
        <f t="shared" si="453"/>
        <v>0</v>
      </c>
      <c r="T323" s="200" t="str">
        <f t="shared" si="454"/>
        <v>S</v>
      </c>
      <c r="U323" s="214">
        <v>1</v>
      </c>
      <c r="V323" s="214">
        <v>1</v>
      </c>
      <c r="W323" s="214">
        <v>1</v>
      </c>
      <c r="X323" s="214">
        <v>1</v>
      </c>
      <c r="Y323" s="142"/>
      <c r="Z323" s="149">
        <f t="shared" si="563"/>
        <v>714</v>
      </c>
      <c r="AA323" s="150">
        <f t="shared" si="564"/>
        <v>8.9824000000000002</v>
      </c>
      <c r="AE323" s="582">
        <f t="shared" si="565"/>
        <v>0</v>
      </c>
      <c r="AF323" s="582">
        <f t="shared" si="566"/>
        <v>0</v>
      </c>
    </row>
    <row r="324" spans="2:32" ht="18" customHeight="1">
      <c r="B324" s="142" t="s">
        <v>260</v>
      </c>
      <c r="C324" s="221" t="s">
        <v>187</v>
      </c>
      <c r="D324" s="222">
        <v>0</v>
      </c>
      <c r="E324" s="210">
        <v>14</v>
      </c>
      <c r="F324" s="51" t="s">
        <v>458</v>
      </c>
      <c r="G324" s="63" t="s">
        <v>271</v>
      </c>
      <c r="H324" s="51" t="s">
        <v>272</v>
      </c>
      <c r="I324" s="51">
        <v>26.2</v>
      </c>
      <c r="J324" s="213">
        <v>11255</v>
      </c>
      <c r="K324" s="146">
        <f t="shared" si="449"/>
        <v>255</v>
      </c>
      <c r="L324" s="147">
        <f t="shared" si="1"/>
        <v>33.640799999999999</v>
      </c>
      <c r="M324" s="147">
        <f t="shared" si="2"/>
        <v>0</v>
      </c>
      <c r="N324" s="147">
        <f t="shared" si="3"/>
        <v>0</v>
      </c>
      <c r="O324" s="147">
        <f t="shared" si="4"/>
        <v>0</v>
      </c>
      <c r="P324" s="148">
        <f t="shared" si="450"/>
        <v>1.284</v>
      </c>
      <c r="Q324" s="147">
        <f t="shared" si="451"/>
        <v>0</v>
      </c>
      <c r="R324" s="147">
        <f t="shared" si="452"/>
        <v>0</v>
      </c>
      <c r="S324" s="147">
        <f t="shared" si="453"/>
        <v>0</v>
      </c>
      <c r="T324" s="200" t="str">
        <f t="shared" si="454"/>
        <v>S</v>
      </c>
      <c r="U324" s="214">
        <v>1</v>
      </c>
      <c r="V324" s="214">
        <v>1</v>
      </c>
      <c r="W324" s="214">
        <v>1</v>
      </c>
      <c r="X324" s="214">
        <v>1</v>
      </c>
      <c r="Y324" s="142"/>
      <c r="Z324" s="149">
        <f t="shared" si="563"/>
        <v>6681</v>
      </c>
      <c r="AA324" s="150">
        <f t="shared" si="564"/>
        <v>33.640799999999999</v>
      </c>
      <c r="AE324" s="582">
        <f t="shared" si="565"/>
        <v>0</v>
      </c>
      <c r="AF324" s="582">
        <f t="shared" si="566"/>
        <v>0</v>
      </c>
    </row>
    <row r="325" spans="2:32" ht="18" customHeight="1">
      <c r="B325" s="142" t="s">
        <v>260</v>
      </c>
      <c r="C325" s="221" t="s">
        <v>187</v>
      </c>
      <c r="D325" s="143">
        <v>1</v>
      </c>
      <c r="E325" s="210">
        <v>15</v>
      </c>
      <c r="F325" s="51" t="s">
        <v>353</v>
      </c>
      <c r="G325" s="63" t="s">
        <v>271</v>
      </c>
      <c r="H325" s="51" t="s">
        <v>272</v>
      </c>
      <c r="I325" s="51">
        <v>11.1</v>
      </c>
      <c r="J325" s="213">
        <v>3255</v>
      </c>
      <c r="K325" s="146">
        <f t="shared" ref="K325" si="567">SUM(IF(J325="",0,VLOOKUP(J325,Kengetal,2)))</f>
        <v>255</v>
      </c>
      <c r="L325" s="147">
        <f t="shared" ref="L325" si="568">P325*I325*U325</f>
        <v>4.1513999999999998</v>
      </c>
      <c r="M325" s="147">
        <f t="shared" ref="M325" si="569">Q325*I325*V325</f>
        <v>0</v>
      </c>
      <c r="N325" s="147">
        <f t="shared" ref="N325" si="570">R325*I325*W325</f>
        <v>0</v>
      </c>
      <c r="O325" s="147">
        <f t="shared" ref="O325" si="571">S325*I325*X325</f>
        <v>0</v>
      </c>
      <c r="P325" s="148">
        <f t="shared" si="450"/>
        <v>0.374</v>
      </c>
      <c r="Q325" s="147">
        <f t="shared" si="451"/>
        <v>0</v>
      </c>
      <c r="R325" s="147">
        <f t="shared" si="452"/>
        <v>0</v>
      </c>
      <c r="S325" s="147">
        <f t="shared" si="453"/>
        <v>0</v>
      </c>
      <c r="T325" s="200" t="str">
        <f t="shared" ref="T325" si="572">IF(J325="","",VLOOKUP(J325,Kengetal,13,FALSE))</f>
        <v>V</v>
      </c>
      <c r="U325" s="214">
        <v>1</v>
      </c>
      <c r="V325" s="214">
        <v>1</v>
      </c>
      <c r="W325" s="214">
        <v>1</v>
      </c>
      <c r="X325" s="214">
        <v>1</v>
      </c>
      <c r="Y325" s="142"/>
      <c r="Z325" s="149">
        <f t="shared" si="563"/>
        <v>2830.5</v>
      </c>
      <c r="AA325" s="150">
        <f t="shared" si="564"/>
        <v>4.1513999999999998</v>
      </c>
      <c r="AE325" s="582">
        <f t="shared" si="565"/>
        <v>0</v>
      </c>
      <c r="AF325" s="582">
        <f t="shared" si="566"/>
        <v>0</v>
      </c>
    </row>
    <row r="326" spans="2:32" ht="18" customHeight="1">
      <c r="B326" s="142" t="s">
        <v>260</v>
      </c>
      <c r="C326" s="221" t="s">
        <v>187</v>
      </c>
      <c r="D326" s="143">
        <v>1</v>
      </c>
      <c r="E326" s="210" t="s">
        <v>495</v>
      </c>
      <c r="F326" s="51" t="s">
        <v>262</v>
      </c>
      <c r="G326" s="63" t="s">
        <v>263</v>
      </c>
      <c r="H326" s="51" t="s">
        <v>272</v>
      </c>
      <c r="I326" s="51">
        <v>7.5</v>
      </c>
      <c r="J326" s="213">
        <v>1104</v>
      </c>
      <c r="K326" s="146">
        <f t="shared" si="449"/>
        <v>104</v>
      </c>
      <c r="L326" s="147">
        <f t="shared" si="1"/>
        <v>1.9821176470588235</v>
      </c>
      <c r="M326" s="147">
        <f t="shared" si="2"/>
        <v>0</v>
      </c>
      <c r="N326" s="147">
        <f t="shared" si="3"/>
        <v>0</v>
      </c>
      <c r="O326" s="147">
        <f t="shared" si="4"/>
        <v>0</v>
      </c>
      <c r="P326" s="148">
        <f t="shared" si="450"/>
        <v>0.26428235294117647</v>
      </c>
      <c r="Q326" s="147">
        <f t="shared" si="451"/>
        <v>0</v>
      </c>
      <c r="R326" s="147">
        <f t="shared" si="452"/>
        <v>0</v>
      </c>
      <c r="S326" s="147">
        <f t="shared" si="453"/>
        <v>0</v>
      </c>
      <c r="T326" s="200" t="str">
        <f t="shared" si="454"/>
        <v>B</v>
      </c>
      <c r="U326" s="214">
        <v>1</v>
      </c>
      <c r="V326" s="214">
        <v>1</v>
      </c>
      <c r="W326" s="214">
        <v>1</v>
      </c>
      <c r="X326" s="214">
        <v>1</v>
      </c>
      <c r="Y326" s="142"/>
      <c r="Z326" s="149">
        <f t="shared" si="563"/>
        <v>780</v>
      </c>
      <c r="AA326" s="150">
        <f t="shared" si="564"/>
        <v>1.9821176470588235</v>
      </c>
      <c r="AE326" s="582">
        <f t="shared" si="565"/>
        <v>0</v>
      </c>
      <c r="AF326" s="582">
        <f t="shared" si="566"/>
        <v>0</v>
      </c>
    </row>
    <row r="327" spans="2:32" ht="18" customHeight="1">
      <c r="B327" s="142" t="s">
        <v>260</v>
      </c>
      <c r="C327" s="221" t="s">
        <v>187</v>
      </c>
      <c r="D327" s="143">
        <v>1</v>
      </c>
      <c r="E327" s="210">
        <v>16</v>
      </c>
      <c r="F327" s="51" t="s">
        <v>262</v>
      </c>
      <c r="G327" s="63" t="s">
        <v>263</v>
      </c>
      <c r="H327" s="51" t="s">
        <v>76</v>
      </c>
      <c r="I327" s="51">
        <v>14.9</v>
      </c>
      <c r="J327" s="213">
        <v>1104</v>
      </c>
      <c r="K327" s="146">
        <f t="shared" si="449"/>
        <v>104</v>
      </c>
      <c r="L327" s="147">
        <f t="shared" si="1"/>
        <v>3.9378070588235294</v>
      </c>
      <c r="M327" s="147">
        <f t="shared" si="2"/>
        <v>0</v>
      </c>
      <c r="N327" s="147">
        <f t="shared" si="3"/>
        <v>0</v>
      </c>
      <c r="O327" s="147">
        <f t="shared" si="4"/>
        <v>0</v>
      </c>
      <c r="P327" s="148">
        <f t="shared" si="450"/>
        <v>0.26428235294117647</v>
      </c>
      <c r="Q327" s="147">
        <f t="shared" si="451"/>
        <v>0</v>
      </c>
      <c r="R327" s="147">
        <f t="shared" si="452"/>
        <v>0</v>
      </c>
      <c r="S327" s="147">
        <f t="shared" si="453"/>
        <v>0</v>
      </c>
      <c r="T327" s="200" t="str">
        <f t="shared" si="454"/>
        <v>B</v>
      </c>
      <c r="U327" s="214">
        <v>1</v>
      </c>
      <c r="V327" s="214">
        <v>1</v>
      </c>
      <c r="W327" s="214">
        <v>1</v>
      </c>
      <c r="X327" s="214">
        <v>1</v>
      </c>
      <c r="Y327" s="142"/>
      <c r="Z327" s="149">
        <f t="shared" si="563"/>
        <v>1549.6000000000001</v>
      </c>
      <c r="AA327" s="150">
        <f t="shared" si="564"/>
        <v>3.9378070588235294</v>
      </c>
      <c r="AE327" s="582">
        <f t="shared" si="565"/>
        <v>0</v>
      </c>
      <c r="AF327" s="582">
        <f t="shared" si="566"/>
        <v>14.9</v>
      </c>
    </row>
    <row r="328" spans="2:32" ht="18" customHeight="1">
      <c r="B328" s="142" t="s">
        <v>260</v>
      </c>
      <c r="C328" s="221" t="s">
        <v>187</v>
      </c>
      <c r="D328" s="143">
        <v>1</v>
      </c>
      <c r="E328" s="210">
        <v>17</v>
      </c>
      <c r="F328" s="51" t="s">
        <v>274</v>
      </c>
      <c r="G328" s="63" t="s">
        <v>263</v>
      </c>
      <c r="H328" s="51" t="s">
        <v>418</v>
      </c>
      <c r="I328" s="51">
        <v>40.799999999999997</v>
      </c>
      <c r="J328" s="213">
        <v>15104</v>
      </c>
      <c r="K328" s="146">
        <f t="shared" si="449"/>
        <v>104</v>
      </c>
      <c r="L328" s="147">
        <f t="shared" si="1"/>
        <v>11.082239999999999</v>
      </c>
      <c r="M328" s="147">
        <f t="shared" si="2"/>
        <v>0</v>
      </c>
      <c r="N328" s="147">
        <f t="shared" si="3"/>
        <v>0</v>
      </c>
      <c r="O328" s="147">
        <f t="shared" si="4"/>
        <v>0</v>
      </c>
      <c r="P328" s="148">
        <f t="shared" si="450"/>
        <v>0.27162352941176471</v>
      </c>
      <c r="Q328" s="147">
        <f t="shared" si="451"/>
        <v>0</v>
      </c>
      <c r="R328" s="147">
        <f t="shared" si="452"/>
        <v>0</v>
      </c>
      <c r="S328" s="147">
        <f t="shared" si="453"/>
        <v>0</v>
      </c>
      <c r="T328" s="200" t="str">
        <f t="shared" si="454"/>
        <v>B</v>
      </c>
      <c r="U328" s="214">
        <v>1</v>
      </c>
      <c r="V328" s="214">
        <v>1</v>
      </c>
      <c r="W328" s="214">
        <v>1</v>
      </c>
      <c r="X328" s="214">
        <v>1</v>
      </c>
      <c r="Y328" s="142"/>
      <c r="Z328" s="149">
        <f t="shared" si="563"/>
        <v>4243.2</v>
      </c>
      <c r="AA328" s="150">
        <f t="shared" si="564"/>
        <v>11.082239999999999</v>
      </c>
      <c r="AE328" s="582">
        <f t="shared" si="565"/>
        <v>40.799999999999997</v>
      </c>
      <c r="AF328" s="582">
        <f t="shared" si="566"/>
        <v>0</v>
      </c>
    </row>
    <row r="329" spans="2:32" ht="18" customHeight="1">
      <c r="B329" s="142" t="s">
        <v>260</v>
      </c>
      <c r="C329" s="221" t="s">
        <v>187</v>
      </c>
      <c r="D329" s="143">
        <v>1</v>
      </c>
      <c r="E329" s="210">
        <v>18</v>
      </c>
      <c r="F329" s="51" t="s">
        <v>457</v>
      </c>
      <c r="G329" s="63" t="s">
        <v>271</v>
      </c>
      <c r="H329" s="51" t="s">
        <v>418</v>
      </c>
      <c r="I329" s="51">
        <v>58</v>
      </c>
      <c r="J329" s="213">
        <v>18255</v>
      </c>
      <c r="K329" s="146">
        <f t="shared" si="449"/>
        <v>255</v>
      </c>
      <c r="L329" s="147">
        <f t="shared" si="1"/>
        <v>33.291999999999994</v>
      </c>
      <c r="M329" s="147">
        <f t="shared" si="2"/>
        <v>0</v>
      </c>
      <c r="N329" s="147">
        <f t="shared" si="3"/>
        <v>0</v>
      </c>
      <c r="O329" s="147">
        <f t="shared" si="4"/>
        <v>0</v>
      </c>
      <c r="P329" s="148">
        <f t="shared" si="450"/>
        <v>0.57399999999999995</v>
      </c>
      <c r="Q329" s="147">
        <f t="shared" si="451"/>
        <v>0</v>
      </c>
      <c r="R329" s="147">
        <f t="shared" si="452"/>
        <v>0</v>
      </c>
      <c r="S329" s="147">
        <f t="shared" si="453"/>
        <v>0</v>
      </c>
      <c r="T329" s="200" t="str">
        <f t="shared" si="454"/>
        <v>V</v>
      </c>
      <c r="U329" s="214">
        <v>1</v>
      </c>
      <c r="V329" s="214">
        <v>1</v>
      </c>
      <c r="W329" s="214">
        <v>1</v>
      </c>
      <c r="X329" s="214">
        <v>1</v>
      </c>
      <c r="Y329" s="142"/>
      <c r="Z329" s="149">
        <f t="shared" si="563"/>
        <v>14790</v>
      </c>
      <c r="AA329" s="150">
        <f t="shared" si="564"/>
        <v>33.291999999999994</v>
      </c>
      <c r="AE329" s="582">
        <f t="shared" si="565"/>
        <v>58</v>
      </c>
      <c r="AF329" s="582">
        <f t="shared" si="566"/>
        <v>0</v>
      </c>
    </row>
    <row r="330" spans="2:32" ht="18" customHeight="1">
      <c r="B330" s="142" t="s">
        <v>260</v>
      </c>
      <c r="C330" s="221" t="s">
        <v>187</v>
      </c>
      <c r="D330" s="143">
        <v>1</v>
      </c>
      <c r="E330" s="210">
        <v>19</v>
      </c>
      <c r="F330" s="51" t="s">
        <v>496</v>
      </c>
      <c r="G330" s="63" t="s">
        <v>271</v>
      </c>
      <c r="H330" s="51" t="s">
        <v>418</v>
      </c>
      <c r="I330" s="51">
        <v>15.7</v>
      </c>
      <c r="J330" s="213">
        <v>6255</v>
      </c>
      <c r="K330" s="146">
        <f t="shared" ref="K330" si="573">SUM(IF(J330="",0,VLOOKUP(J330,Kengetal,2)))</f>
        <v>255</v>
      </c>
      <c r="L330" s="147">
        <f t="shared" ref="L330" si="574">P330*I330*U330</f>
        <v>17.646800000000002</v>
      </c>
      <c r="M330" s="147">
        <f t="shared" ref="M330" si="575">Q330*I330*V330</f>
        <v>0</v>
      </c>
      <c r="N330" s="147">
        <f t="shared" ref="N330" si="576">R330*I330*W330</f>
        <v>0</v>
      </c>
      <c r="O330" s="147">
        <f t="shared" ref="O330" si="577">S330*I330*X330</f>
        <v>0</v>
      </c>
      <c r="P330" s="148">
        <f t="shared" si="450"/>
        <v>1.1240000000000001</v>
      </c>
      <c r="Q330" s="147">
        <f t="shared" si="451"/>
        <v>0</v>
      </c>
      <c r="R330" s="147">
        <f t="shared" si="452"/>
        <v>0</v>
      </c>
      <c r="S330" s="147">
        <f t="shared" si="453"/>
        <v>0</v>
      </c>
      <c r="T330" s="200" t="str">
        <f t="shared" ref="T330" si="578">IF(J330="","",VLOOKUP(J330,Kengetal,13,FALSE))</f>
        <v>V</v>
      </c>
      <c r="U330" s="214">
        <v>1</v>
      </c>
      <c r="V330" s="214">
        <v>1</v>
      </c>
      <c r="W330" s="214">
        <v>1</v>
      </c>
      <c r="X330" s="214">
        <v>1</v>
      </c>
      <c r="Y330" s="142"/>
      <c r="Z330" s="149">
        <f t="shared" si="563"/>
        <v>4003.5</v>
      </c>
      <c r="AA330" s="150">
        <f t="shared" si="564"/>
        <v>17.646800000000002</v>
      </c>
      <c r="AE330" s="582">
        <f t="shared" si="565"/>
        <v>15.7</v>
      </c>
      <c r="AF330" s="582">
        <f t="shared" si="566"/>
        <v>0</v>
      </c>
    </row>
    <row r="331" spans="2:32" ht="18" customHeight="1">
      <c r="B331" s="142" t="s">
        <v>260</v>
      </c>
      <c r="C331" s="221" t="s">
        <v>187</v>
      </c>
      <c r="D331" s="143">
        <v>1</v>
      </c>
      <c r="E331" s="210">
        <v>20</v>
      </c>
      <c r="F331" s="51" t="s">
        <v>278</v>
      </c>
      <c r="G331" s="63" t="s">
        <v>271</v>
      </c>
      <c r="H331" s="51" t="s">
        <v>418</v>
      </c>
      <c r="I331" s="51">
        <v>8.9</v>
      </c>
      <c r="J331" s="213" t="s">
        <v>161</v>
      </c>
      <c r="K331" s="146">
        <f t="shared" ref="K331" si="579">SUM(IF(J331="",0,VLOOKUP(J331,Kengetal,2)))</f>
        <v>0</v>
      </c>
      <c r="L331" s="147">
        <f t="shared" ref="L331" si="580">P331*I331*U331</f>
        <v>0</v>
      </c>
      <c r="M331" s="147">
        <f t="shared" ref="M331" si="581">Q331*I331*V331</f>
        <v>0</v>
      </c>
      <c r="N331" s="147">
        <f t="shared" ref="N331" si="582">R331*I331*W331</f>
        <v>0</v>
      </c>
      <c r="O331" s="147">
        <f t="shared" ref="O331" si="583">S331*I331*X331</f>
        <v>0</v>
      </c>
      <c r="P331" s="148">
        <f t="shared" si="450"/>
        <v>0</v>
      </c>
      <c r="Q331" s="147">
        <f t="shared" si="451"/>
        <v>0</v>
      </c>
      <c r="R331" s="147">
        <f t="shared" si="452"/>
        <v>0</v>
      </c>
      <c r="S331" s="147">
        <f t="shared" si="453"/>
        <v>0</v>
      </c>
      <c r="T331" s="200" t="str">
        <f t="shared" ref="T331" si="584">IF(J331="","",VLOOKUP(J331,Kengetal,13,FALSE))</f>
        <v>nvt</v>
      </c>
      <c r="U331" s="214">
        <v>1</v>
      </c>
      <c r="V331" s="214">
        <v>1</v>
      </c>
      <c r="W331" s="214">
        <v>1</v>
      </c>
      <c r="X331" s="214">
        <v>1</v>
      </c>
      <c r="Y331" s="142"/>
      <c r="Z331" s="149">
        <f t="shared" si="563"/>
        <v>0</v>
      </c>
      <c r="AA331" s="150">
        <f t="shared" si="564"/>
        <v>0</v>
      </c>
      <c r="AE331" s="582">
        <f t="shared" si="565"/>
        <v>8.9</v>
      </c>
      <c r="AF331" s="582">
        <f t="shared" si="566"/>
        <v>0</v>
      </c>
    </row>
    <row r="332" spans="2:32" ht="18" customHeight="1">
      <c r="B332" s="142" t="s">
        <v>260</v>
      </c>
      <c r="C332" s="221" t="s">
        <v>187</v>
      </c>
      <c r="D332" s="222">
        <v>0</v>
      </c>
      <c r="E332" s="210">
        <v>21</v>
      </c>
      <c r="F332" s="51" t="s">
        <v>262</v>
      </c>
      <c r="G332" s="63" t="s">
        <v>263</v>
      </c>
      <c r="H332" s="51" t="s">
        <v>76</v>
      </c>
      <c r="I332" s="51">
        <v>20</v>
      </c>
      <c r="J332" s="213">
        <v>1104</v>
      </c>
      <c r="K332" s="146">
        <f t="shared" ref="K332" si="585">SUM(IF(J332="",0,VLOOKUP(J332,Kengetal,2)))</f>
        <v>104</v>
      </c>
      <c r="L332" s="147">
        <f t="shared" ref="L332" si="586">P332*I332*U332</f>
        <v>5.2856470588235291</v>
      </c>
      <c r="M332" s="147">
        <f t="shared" ref="M332" si="587">Q332*I332*V332</f>
        <v>0</v>
      </c>
      <c r="N332" s="147">
        <f t="shared" ref="N332" si="588">R332*I332*W332</f>
        <v>0</v>
      </c>
      <c r="O332" s="147">
        <f t="shared" ref="O332" si="589">S332*I332*X332</f>
        <v>0</v>
      </c>
      <c r="P332" s="148">
        <f t="shared" si="450"/>
        <v>0.26428235294117647</v>
      </c>
      <c r="Q332" s="147">
        <f t="shared" si="451"/>
        <v>0</v>
      </c>
      <c r="R332" s="147">
        <f t="shared" si="452"/>
        <v>0</v>
      </c>
      <c r="S332" s="147">
        <f t="shared" si="453"/>
        <v>0</v>
      </c>
      <c r="T332" s="200" t="str">
        <f t="shared" ref="T332" si="590">IF(J332="","",VLOOKUP(J332,Kengetal,13,FALSE))</f>
        <v>B</v>
      </c>
      <c r="U332" s="214">
        <v>1</v>
      </c>
      <c r="V332" s="214">
        <v>1</v>
      </c>
      <c r="W332" s="214">
        <v>1</v>
      </c>
      <c r="X332" s="214">
        <v>1</v>
      </c>
      <c r="Y332" s="142"/>
      <c r="Z332" s="149">
        <f t="shared" si="563"/>
        <v>2080</v>
      </c>
      <c r="AA332" s="150">
        <f t="shared" si="564"/>
        <v>5.2856470588235291</v>
      </c>
      <c r="AE332" s="582">
        <f t="shared" si="565"/>
        <v>0</v>
      </c>
      <c r="AF332" s="582">
        <f t="shared" si="566"/>
        <v>20</v>
      </c>
    </row>
    <row r="333" spans="2:32" ht="18" customHeight="1">
      <c r="B333" s="142" t="s">
        <v>260</v>
      </c>
      <c r="C333" s="221" t="s">
        <v>187</v>
      </c>
      <c r="D333" s="222">
        <v>0</v>
      </c>
      <c r="E333" s="210">
        <v>28</v>
      </c>
      <c r="F333" s="51" t="s">
        <v>262</v>
      </c>
      <c r="G333" s="63" t="s">
        <v>263</v>
      </c>
      <c r="H333" s="51" t="s">
        <v>279</v>
      </c>
      <c r="I333" s="51">
        <v>14.1</v>
      </c>
      <c r="J333" s="213">
        <v>1104</v>
      </c>
      <c r="K333" s="146">
        <f t="shared" si="449"/>
        <v>104</v>
      </c>
      <c r="L333" s="147">
        <f t="shared" si="1"/>
        <v>3.7263811764705883</v>
      </c>
      <c r="M333" s="147">
        <f t="shared" si="2"/>
        <v>0</v>
      </c>
      <c r="N333" s="147">
        <f t="shared" si="3"/>
        <v>0</v>
      </c>
      <c r="O333" s="147">
        <f t="shared" si="4"/>
        <v>0</v>
      </c>
      <c r="P333" s="148">
        <f t="shared" si="450"/>
        <v>0.26428235294117647</v>
      </c>
      <c r="Q333" s="147">
        <f t="shared" si="451"/>
        <v>0</v>
      </c>
      <c r="R333" s="147">
        <f t="shared" si="452"/>
        <v>0</v>
      </c>
      <c r="S333" s="147">
        <f t="shared" si="453"/>
        <v>0</v>
      </c>
      <c r="T333" s="200" t="str">
        <f t="shared" si="454"/>
        <v>B</v>
      </c>
      <c r="U333" s="214">
        <v>1</v>
      </c>
      <c r="V333" s="214">
        <v>1</v>
      </c>
      <c r="W333" s="214">
        <v>1</v>
      </c>
      <c r="X333" s="214">
        <v>1</v>
      </c>
      <c r="Y333" s="142"/>
      <c r="Z333" s="149">
        <f t="shared" si="563"/>
        <v>1466.3999999999999</v>
      </c>
      <c r="AA333" s="150">
        <f t="shared" si="564"/>
        <v>3.7263811764705883</v>
      </c>
      <c r="AE333" s="582">
        <f t="shared" si="565"/>
        <v>0</v>
      </c>
      <c r="AF333" s="582">
        <f t="shared" si="566"/>
        <v>0</v>
      </c>
    </row>
    <row r="334" spans="2:32" ht="18" customHeight="1">
      <c r="B334" s="142" t="s">
        <v>260</v>
      </c>
      <c r="C334" s="221" t="s">
        <v>187</v>
      </c>
      <c r="D334" s="222">
        <v>0</v>
      </c>
      <c r="E334" s="210">
        <v>29</v>
      </c>
      <c r="F334" s="51" t="s">
        <v>363</v>
      </c>
      <c r="G334" s="63" t="s">
        <v>266</v>
      </c>
      <c r="H334" s="51" t="s">
        <v>272</v>
      </c>
      <c r="I334" s="51">
        <v>3.8</v>
      </c>
      <c r="J334" s="213">
        <v>2255</v>
      </c>
      <c r="K334" s="146">
        <f t="shared" si="449"/>
        <v>255</v>
      </c>
      <c r="L334" s="147">
        <f t="shared" si="1"/>
        <v>12.1904</v>
      </c>
      <c r="M334" s="147">
        <f t="shared" si="2"/>
        <v>0</v>
      </c>
      <c r="N334" s="147">
        <f t="shared" si="3"/>
        <v>0</v>
      </c>
      <c r="O334" s="147">
        <f t="shared" si="4"/>
        <v>0</v>
      </c>
      <c r="P334" s="148">
        <f t="shared" si="450"/>
        <v>3.2080000000000002</v>
      </c>
      <c r="Q334" s="147">
        <f t="shared" si="451"/>
        <v>0</v>
      </c>
      <c r="R334" s="147">
        <f t="shared" si="452"/>
        <v>0</v>
      </c>
      <c r="S334" s="147">
        <f t="shared" si="453"/>
        <v>0</v>
      </c>
      <c r="T334" s="200" t="str">
        <f t="shared" si="454"/>
        <v>S</v>
      </c>
      <c r="U334" s="214">
        <v>1</v>
      </c>
      <c r="V334" s="214">
        <v>1</v>
      </c>
      <c r="W334" s="214">
        <v>1</v>
      </c>
      <c r="X334" s="214">
        <v>1</v>
      </c>
      <c r="Y334" s="142"/>
      <c r="Z334" s="149">
        <f t="shared" si="563"/>
        <v>969</v>
      </c>
      <c r="AA334" s="150">
        <f t="shared" si="564"/>
        <v>12.1904</v>
      </c>
      <c r="AE334" s="582">
        <f t="shared" si="565"/>
        <v>0</v>
      </c>
      <c r="AF334" s="582">
        <f t="shared" si="566"/>
        <v>0</v>
      </c>
    </row>
    <row r="335" spans="2:32" ht="18" customHeight="1">
      <c r="B335" s="142" t="s">
        <v>260</v>
      </c>
      <c r="C335" s="221" t="s">
        <v>187</v>
      </c>
      <c r="D335" s="222">
        <v>0</v>
      </c>
      <c r="E335" s="210">
        <v>21</v>
      </c>
      <c r="F335" s="51" t="s">
        <v>144</v>
      </c>
      <c r="G335" s="63" t="s">
        <v>271</v>
      </c>
      <c r="H335" s="51" t="s">
        <v>76</v>
      </c>
      <c r="I335" s="51">
        <v>1.8</v>
      </c>
      <c r="J335" s="213">
        <v>8255</v>
      </c>
      <c r="K335" s="146">
        <f t="shared" si="449"/>
        <v>255</v>
      </c>
      <c r="L335" s="147">
        <f t="shared" si="1"/>
        <v>3.6</v>
      </c>
      <c r="M335" s="147">
        <f t="shared" si="2"/>
        <v>0</v>
      </c>
      <c r="N335" s="147">
        <f t="shared" si="3"/>
        <v>0</v>
      </c>
      <c r="O335" s="147">
        <f t="shared" si="4"/>
        <v>0</v>
      </c>
      <c r="P335" s="148">
        <f t="shared" si="450"/>
        <v>2</v>
      </c>
      <c r="Q335" s="147">
        <f t="shared" si="451"/>
        <v>0</v>
      </c>
      <c r="R335" s="147">
        <f t="shared" si="452"/>
        <v>0</v>
      </c>
      <c r="S335" s="147">
        <f t="shared" si="453"/>
        <v>0</v>
      </c>
      <c r="T335" s="200" t="str">
        <f t="shared" si="454"/>
        <v>V</v>
      </c>
      <c r="U335" s="214">
        <v>1</v>
      </c>
      <c r="V335" s="214">
        <v>1</v>
      </c>
      <c r="W335" s="214">
        <v>1</v>
      </c>
      <c r="X335" s="214">
        <v>1</v>
      </c>
      <c r="Y335" s="142"/>
      <c r="Z335" s="149">
        <f t="shared" si="563"/>
        <v>459</v>
      </c>
      <c r="AA335" s="150">
        <f t="shared" si="564"/>
        <v>3.6</v>
      </c>
      <c r="AE335" s="582">
        <f t="shared" si="565"/>
        <v>0</v>
      </c>
      <c r="AF335" s="582">
        <f t="shared" si="566"/>
        <v>1.8</v>
      </c>
    </row>
    <row r="336" spans="2:32" ht="18" customHeight="1">
      <c r="B336" s="142" t="s">
        <v>260</v>
      </c>
      <c r="C336" s="221" t="s">
        <v>187</v>
      </c>
      <c r="D336" s="222">
        <v>0</v>
      </c>
      <c r="E336" s="210">
        <v>1</v>
      </c>
      <c r="F336" s="51" t="s">
        <v>262</v>
      </c>
      <c r="G336" s="63" t="s">
        <v>263</v>
      </c>
      <c r="H336" s="51" t="s">
        <v>418</v>
      </c>
      <c r="I336" s="51">
        <v>6.9</v>
      </c>
      <c r="J336" s="213">
        <v>1104</v>
      </c>
      <c r="K336" s="146">
        <f t="shared" si="449"/>
        <v>104</v>
      </c>
      <c r="L336" s="147">
        <f t="shared" si="1"/>
        <v>1.8235482352941177</v>
      </c>
      <c r="M336" s="147">
        <f t="shared" si="2"/>
        <v>0</v>
      </c>
      <c r="N336" s="147">
        <f t="shared" si="3"/>
        <v>0</v>
      </c>
      <c r="O336" s="147">
        <f t="shared" si="4"/>
        <v>0</v>
      </c>
      <c r="P336" s="148">
        <f t="shared" si="450"/>
        <v>0.26428235294117647</v>
      </c>
      <c r="Q336" s="147">
        <f t="shared" si="451"/>
        <v>0</v>
      </c>
      <c r="R336" s="147">
        <f t="shared" si="452"/>
        <v>0</v>
      </c>
      <c r="S336" s="147">
        <f t="shared" si="453"/>
        <v>0</v>
      </c>
      <c r="T336" s="200" t="str">
        <f t="shared" si="454"/>
        <v>B</v>
      </c>
      <c r="U336" s="214">
        <v>1</v>
      </c>
      <c r="V336" s="214">
        <v>1</v>
      </c>
      <c r="W336" s="214">
        <v>1</v>
      </c>
      <c r="X336" s="214">
        <v>1</v>
      </c>
      <c r="Y336" s="142"/>
      <c r="Z336" s="149">
        <f t="shared" si="563"/>
        <v>717.6</v>
      </c>
      <c r="AA336" s="150">
        <f t="shared" si="564"/>
        <v>1.8235482352941177</v>
      </c>
      <c r="AE336" s="582">
        <f t="shared" si="565"/>
        <v>6.9</v>
      </c>
      <c r="AF336" s="582">
        <f t="shared" si="566"/>
        <v>0</v>
      </c>
    </row>
    <row r="337" spans="2:32" ht="18" customHeight="1">
      <c r="B337" s="142" t="s">
        <v>260</v>
      </c>
      <c r="C337" s="221" t="s">
        <v>187</v>
      </c>
      <c r="D337" s="222">
        <v>0</v>
      </c>
      <c r="E337" s="210">
        <v>1</v>
      </c>
      <c r="F337" s="51" t="s">
        <v>262</v>
      </c>
      <c r="G337" s="63" t="s">
        <v>263</v>
      </c>
      <c r="H337" s="51" t="s">
        <v>418</v>
      </c>
      <c r="I337" s="51">
        <v>20</v>
      </c>
      <c r="J337" s="213">
        <v>1104</v>
      </c>
      <c r="K337" s="146">
        <f t="shared" si="449"/>
        <v>104</v>
      </c>
      <c r="L337" s="147">
        <f t="shared" si="1"/>
        <v>5.2856470588235291</v>
      </c>
      <c r="M337" s="147">
        <f t="shared" si="2"/>
        <v>0</v>
      </c>
      <c r="N337" s="147">
        <f t="shared" si="3"/>
        <v>0</v>
      </c>
      <c r="O337" s="147">
        <f t="shared" si="4"/>
        <v>0</v>
      </c>
      <c r="P337" s="148">
        <f t="shared" si="450"/>
        <v>0.26428235294117647</v>
      </c>
      <c r="Q337" s="147">
        <f t="shared" si="451"/>
        <v>0</v>
      </c>
      <c r="R337" s="147">
        <f t="shared" si="452"/>
        <v>0</v>
      </c>
      <c r="S337" s="147">
        <f t="shared" si="453"/>
        <v>0</v>
      </c>
      <c r="T337" s="200" t="str">
        <f t="shared" si="454"/>
        <v>B</v>
      </c>
      <c r="U337" s="214">
        <v>1</v>
      </c>
      <c r="V337" s="214">
        <v>1</v>
      </c>
      <c r="W337" s="214">
        <v>1</v>
      </c>
      <c r="X337" s="214">
        <v>1</v>
      </c>
      <c r="Y337" s="142"/>
      <c r="Z337" s="149">
        <f t="shared" si="563"/>
        <v>2080</v>
      </c>
      <c r="AA337" s="150">
        <f t="shared" si="564"/>
        <v>5.2856470588235291</v>
      </c>
      <c r="AE337" s="582">
        <f t="shared" si="565"/>
        <v>20</v>
      </c>
      <c r="AF337" s="582">
        <f t="shared" si="566"/>
        <v>0</v>
      </c>
    </row>
    <row r="338" spans="2:32" ht="18" customHeight="1">
      <c r="B338" s="142" t="s">
        <v>260</v>
      </c>
      <c r="C338" s="221" t="s">
        <v>187</v>
      </c>
      <c r="D338" s="222">
        <v>0</v>
      </c>
      <c r="E338" s="210">
        <v>1</v>
      </c>
      <c r="F338" s="51" t="s">
        <v>457</v>
      </c>
      <c r="G338" s="63" t="s">
        <v>271</v>
      </c>
      <c r="H338" s="51" t="s">
        <v>418</v>
      </c>
      <c r="I338" s="51">
        <v>8.5</v>
      </c>
      <c r="J338" s="213">
        <v>18255</v>
      </c>
      <c r="K338" s="146">
        <f t="shared" si="449"/>
        <v>255</v>
      </c>
      <c r="L338" s="147">
        <f t="shared" si="1"/>
        <v>4.8789999999999996</v>
      </c>
      <c r="M338" s="147">
        <f t="shared" si="2"/>
        <v>0</v>
      </c>
      <c r="N338" s="147">
        <f t="shared" si="3"/>
        <v>0</v>
      </c>
      <c r="O338" s="147">
        <f t="shared" si="4"/>
        <v>0</v>
      </c>
      <c r="P338" s="148">
        <f t="shared" si="450"/>
        <v>0.57399999999999995</v>
      </c>
      <c r="Q338" s="147">
        <f t="shared" si="451"/>
        <v>0</v>
      </c>
      <c r="R338" s="147">
        <f t="shared" si="452"/>
        <v>0</v>
      </c>
      <c r="S338" s="147">
        <f t="shared" si="453"/>
        <v>0</v>
      </c>
      <c r="T338" s="200" t="str">
        <f t="shared" si="454"/>
        <v>V</v>
      </c>
      <c r="U338" s="214">
        <v>1</v>
      </c>
      <c r="V338" s="214">
        <v>1</v>
      </c>
      <c r="W338" s="214">
        <v>1</v>
      </c>
      <c r="X338" s="214">
        <v>1</v>
      </c>
      <c r="Y338" s="142"/>
      <c r="Z338" s="149">
        <f t="shared" si="563"/>
        <v>2167.5</v>
      </c>
      <c r="AA338" s="150">
        <f t="shared" si="564"/>
        <v>4.8789999999999996</v>
      </c>
      <c r="AE338" s="582">
        <f t="shared" si="565"/>
        <v>8.5</v>
      </c>
      <c r="AF338" s="582">
        <f t="shared" si="566"/>
        <v>0</v>
      </c>
    </row>
    <row r="339" spans="2:32" ht="18" customHeight="1">
      <c r="B339" s="142" t="s">
        <v>260</v>
      </c>
      <c r="C339" s="221" t="s">
        <v>187</v>
      </c>
      <c r="D339" s="222">
        <v>0</v>
      </c>
      <c r="E339" s="210">
        <v>2</v>
      </c>
      <c r="F339" s="51" t="s">
        <v>363</v>
      </c>
      <c r="G339" s="63" t="s">
        <v>266</v>
      </c>
      <c r="H339" s="51" t="s">
        <v>418</v>
      </c>
      <c r="I339" s="51">
        <v>1.9</v>
      </c>
      <c r="J339" s="213">
        <v>2255</v>
      </c>
      <c r="K339" s="146">
        <f t="shared" si="449"/>
        <v>255</v>
      </c>
      <c r="L339" s="147">
        <f t="shared" si="1"/>
        <v>6.0952000000000002</v>
      </c>
      <c r="M339" s="147">
        <f t="shared" si="2"/>
        <v>0</v>
      </c>
      <c r="N339" s="147">
        <f t="shared" si="3"/>
        <v>0</v>
      </c>
      <c r="O339" s="147">
        <f t="shared" si="4"/>
        <v>0</v>
      </c>
      <c r="P339" s="148">
        <f t="shared" si="450"/>
        <v>3.2080000000000002</v>
      </c>
      <c r="Q339" s="147">
        <f t="shared" si="451"/>
        <v>0</v>
      </c>
      <c r="R339" s="147">
        <f t="shared" si="452"/>
        <v>0</v>
      </c>
      <c r="S339" s="147">
        <f t="shared" si="453"/>
        <v>0</v>
      </c>
      <c r="T339" s="200" t="str">
        <f t="shared" si="454"/>
        <v>S</v>
      </c>
      <c r="U339" s="214">
        <v>1</v>
      </c>
      <c r="V339" s="214">
        <v>1</v>
      </c>
      <c r="W339" s="214">
        <v>1</v>
      </c>
      <c r="X339" s="214">
        <v>1</v>
      </c>
      <c r="Y339" s="142"/>
      <c r="Z339" s="149">
        <f t="shared" si="563"/>
        <v>484.5</v>
      </c>
      <c r="AA339" s="150">
        <f t="shared" si="564"/>
        <v>6.0952000000000002</v>
      </c>
      <c r="AE339" s="582">
        <f t="shared" si="565"/>
        <v>1.9</v>
      </c>
      <c r="AF339" s="582">
        <f t="shared" si="566"/>
        <v>0</v>
      </c>
    </row>
    <row r="340" spans="2:32" ht="18" customHeight="1">
      <c r="B340" s="142" t="s">
        <v>260</v>
      </c>
      <c r="C340" s="221" t="s">
        <v>187</v>
      </c>
      <c r="D340" s="222">
        <v>0</v>
      </c>
      <c r="E340" s="210">
        <v>3</v>
      </c>
      <c r="F340" s="51" t="s">
        <v>278</v>
      </c>
      <c r="G340" s="63" t="s">
        <v>271</v>
      </c>
      <c r="H340" s="51" t="s">
        <v>418</v>
      </c>
      <c r="I340" s="51">
        <v>4.9000000000000004</v>
      </c>
      <c r="J340" s="213" t="s">
        <v>161</v>
      </c>
      <c r="K340" s="146">
        <f t="shared" si="449"/>
        <v>0</v>
      </c>
      <c r="L340" s="147">
        <f t="shared" si="1"/>
        <v>0</v>
      </c>
      <c r="M340" s="147">
        <f t="shared" si="2"/>
        <v>0</v>
      </c>
      <c r="N340" s="147">
        <f t="shared" si="3"/>
        <v>0</v>
      </c>
      <c r="O340" s="147">
        <f t="shared" si="4"/>
        <v>0</v>
      </c>
      <c r="P340" s="148">
        <f t="shared" si="450"/>
        <v>0</v>
      </c>
      <c r="Q340" s="147">
        <f t="shared" si="451"/>
        <v>0</v>
      </c>
      <c r="R340" s="147">
        <f t="shared" si="452"/>
        <v>0</v>
      </c>
      <c r="S340" s="147">
        <f t="shared" si="453"/>
        <v>0</v>
      </c>
      <c r="T340" s="200" t="str">
        <f t="shared" si="454"/>
        <v>nvt</v>
      </c>
      <c r="U340" s="214">
        <v>1</v>
      </c>
      <c r="V340" s="214">
        <v>1</v>
      </c>
      <c r="W340" s="214">
        <v>1</v>
      </c>
      <c r="X340" s="214">
        <v>1</v>
      </c>
      <c r="Y340" s="142"/>
      <c r="Z340" s="149">
        <f t="shared" si="563"/>
        <v>0</v>
      </c>
      <c r="AA340" s="150">
        <f t="shared" si="564"/>
        <v>0</v>
      </c>
      <c r="AE340" s="582">
        <f t="shared" si="565"/>
        <v>4.9000000000000004</v>
      </c>
      <c r="AF340" s="582">
        <f t="shared" si="566"/>
        <v>0</v>
      </c>
    </row>
    <row r="341" spans="2:32" ht="18" customHeight="1">
      <c r="B341" s="142" t="s">
        <v>260</v>
      </c>
      <c r="C341" s="221" t="s">
        <v>187</v>
      </c>
      <c r="D341" s="222">
        <v>0</v>
      </c>
      <c r="E341" s="210">
        <v>4</v>
      </c>
      <c r="F341" s="51" t="s">
        <v>353</v>
      </c>
      <c r="G341" s="63" t="s">
        <v>271</v>
      </c>
      <c r="H341" s="51" t="s">
        <v>418</v>
      </c>
      <c r="I341" s="51">
        <v>3.2</v>
      </c>
      <c r="J341" s="213">
        <v>3255</v>
      </c>
      <c r="K341" s="146">
        <f t="shared" si="449"/>
        <v>255</v>
      </c>
      <c r="L341" s="147">
        <f t="shared" si="1"/>
        <v>1.1968000000000001</v>
      </c>
      <c r="M341" s="147">
        <f t="shared" si="2"/>
        <v>0</v>
      </c>
      <c r="N341" s="147">
        <f t="shared" si="3"/>
        <v>0</v>
      </c>
      <c r="O341" s="147">
        <f t="shared" si="4"/>
        <v>0</v>
      </c>
      <c r="P341" s="148">
        <f t="shared" si="450"/>
        <v>0.374</v>
      </c>
      <c r="Q341" s="147">
        <f t="shared" si="451"/>
        <v>0</v>
      </c>
      <c r="R341" s="147">
        <f t="shared" si="452"/>
        <v>0</v>
      </c>
      <c r="S341" s="147">
        <f t="shared" si="453"/>
        <v>0</v>
      </c>
      <c r="T341" s="200" t="str">
        <f t="shared" si="454"/>
        <v>V</v>
      </c>
      <c r="U341" s="214">
        <v>1</v>
      </c>
      <c r="V341" s="214">
        <v>1</v>
      </c>
      <c r="W341" s="214">
        <v>1</v>
      </c>
      <c r="X341" s="214">
        <v>1</v>
      </c>
      <c r="Y341" s="142"/>
      <c r="Z341" s="149">
        <f t="shared" si="563"/>
        <v>816</v>
      </c>
      <c r="AA341" s="150">
        <f t="shared" si="564"/>
        <v>1.1968000000000001</v>
      </c>
      <c r="AE341" s="582">
        <f t="shared" si="565"/>
        <v>3.2</v>
      </c>
      <c r="AF341" s="582">
        <f t="shared" si="566"/>
        <v>0</v>
      </c>
    </row>
    <row r="342" spans="2:32" ht="18" customHeight="1">
      <c r="B342" s="142" t="s">
        <v>260</v>
      </c>
      <c r="C342" s="221" t="s">
        <v>187</v>
      </c>
      <c r="D342" s="222">
        <v>0</v>
      </c>
      <c r="E342" s="210">
        <v>5</v>
      </c>
      <c r="F342" s="51" t="s">
        <v>262</v>
      </c>
      <c r="G342" s="63" t="s">
        <v>263</v>
      </c>
      <c r="H342" s="51" t="s">
        <v>418</v>
      </c>
      <c r="I342" s="51">
        <v>13.7</v>
      </c>
      <c r="J342" s="213">
        <v>1104</v>
      </c>
      <c r="K342" s="146">
        <f t="shared" si="449"/>
        <v>104</v>
      </c>
      <c r="L342" s="147">
        <f t="shared" si="1"/>
        <v>3.6206682352941173</v>
      </c>
      <c r="M342" s="147">
        <f t="shared" si="2"/>
        <v>0</v>
      </c>
      <c r="N342" s="147">
        <f t="shared" si="3"/>
        <v>0</v>
      </c>
      <c r="O342" s="147">
        <f t="shared" si="4"/>
        <v>0</v>
      </c>
      <c r="P342" s="148">
        <f t="shared" si="450"/>
        <v>0.26428235294117647</v>
      </c>
      <c r="Q342" s="147">
        <f t="shared" si="451"/>
        <v>0</v>
      </c>
      <c r="R342" s="147">
        <f t="shared" si="452"/>
        <v>0</v>
      </c>
      <c r="S342" s="147">
        <f t="shared" si="453"/>
        <v>0</v>
      </c>
      <c r="T342" s="200" t="str">
        <f t="shared" si="454"/>
        <v>B</v>
      </c>
      <c r="U342" s="214">
        <v>1</v>
      </c>
      <c r="V342" s="214">
        <v>1</v>
      </c>
      <c r="W342" s="214">
        <v>1</v>
      </c>
      <c r="X342" s="214">
        <v>1</v>
      </c>
      <c r="Y342" s="142"/>
      <c r="Z342" s="149">
        <f t="shared" si="563"/>
        <v>1424.8</v>
      </c>
      <c r="AA342" s="150">
        <f t="shared" si="564"/>
        <v>3.6206682352941173</v>
      </c>
      <c r="AE342" s="582">
        <f t="shared" si="565"/>
        <v>13.7</v>
      </c>
      <c r="AF342" s="582">
        <f t="shared" si="566"/>
        <v>0</v>
      </c>
    </row>
    <row r="343" spans="2:32" ht="18" customHeight="1">
      <c r="B343" s="142" t="s">
        <v>260</v>
      </c>
      <c r="C343" s="221" t="s">
        <v>187</v>
      </c>
      <c r="D343" s="222">
        <v>0</v>
      </c>
      <c r="E343" s="210"/>
      <c r="F343" s="51" t="s">
        <v>363</v>
      </c>
      <c r="G343" s="63" t="s">
        <v>266</v>
      </c>
      <c r="H343" s="51" t="s">
        <v>497</v>
      </c>
      <c r="I343" s="51">
        <v>1</v>
      </c>
      <c r="J343" s="213">
        <v>2255</v>
      </c>
      <c r="K343" s="146">
        <f t="shared" si="449"/>
        <v>255</v>
      </c>
      <c r="L343" s="147">
        <f t="shared" si="1"/>
        <v>3.2080000000000002</v>
      </c>
      <c r="M343" s="147">
        <f t="shared" si="2"/>
        <v>0</v>
      </c>
      <c r="N343" s="147">
        <f t="shared" si="3"/>
        <v>0</v>
      </c>
      <c r="O343" s="147">
        <f t="shared" si="4"/>
        <v>0</v>
      </c>
      <c r="P343" s="148">
        <f t="shared" si="450"/>
        <v>3.2080000000000002</v>
      </c>
      <c r="Q343" s="147">
        <f t="shared" si="451"/>
        <v>0</v>
      </c>
      <c r="R343" s="147">
        <f t="shared" si="452"/>
        <v>0</v>
      </c>
      <c r="S343" s="147">
        <f t="shared" si="453"/>
        <v>0</v>
      </c>
      <c r="T343" s="200" t="str">
        <f t="shared" si="454"/>
        <v>S</v>
      </c>
      <c r="U343" s="214">
        <v>1</v>
      </c>
      <c r="V343" s="214">
        <v>1</v>
      </c>
      <c r="W343" s="214">
        <v>1</v>
      </c>
      <c r="X343" s="214">
        <v>1</v>
      </c>
      <c r="Y343" s="142"/>
      <c r="Z343" s="149">
        <f t="shared" si="563"/>
        <v>255</v>
      </c>
      <c r="AA343" s="150">
        <f t="shared" si="564"/>
        <v>3.2080000000000002</v>
      </c>
      <c r="AE343" s="582">
        <f t="shared" si="565"/>
        <v>0</v>
      </c>
      <c r="AF343" s="582">
        <f t="shared" si="566"/>
        <v>0</v>
      </c>
    </row>
    <row r="344" spans="2:32" ht="18" customHeight="1">
      <c r="B344" s="142" t="s">
        <v>260</v>
      </c>
      <c r="C344" s="221" t="s">
        <v>187</v>
      </c>
      <c r="D344" s="222">
        <v>0</v>
      </c>
      <c r="E344" s="210"/>
      <c r="F344" s="51" t="s">
        <v>262</v>
      </c>
      <c r="G344" s="63" t="s">
        <v>263</v>
      </c>
      <c r="H344" s="51" t="s">
        <v>418</v>
      </c>
      <c r="I344" s="51">
        <v>17.260000000000002</v>
      </c>
      <c r="J344" s="213">
        <v>1104</v>
      </c>
      <c r="K344" s="146">
        <f t="shared" si="449"/>
        <v>104</v>
      </c>
      <c r="L344" s="147">
        <f t="shared" si="1"/>
        <v>4.5615134117647065</v>
      </c>
      <c r="M344" s="147">
        <f t="shared" si="2"/>
        <v>0</v>
      </c>
      <c r="N344" s="147">
        <f t="shared" si="3"/>
        <v>0</v>
      </c>
      <c r="O344" s="147">
        <f t="shared" si="4"/>
        <v>0</v>
      </c>
      <c r="P344" s="148">
        <f t="shared" si="450"/>
        <v>0.26428235294117647</v>
      </c>
      <c r="Q344" s="147">
        <f t="shared" si="451"/>
        <v>0</v>
      </c>
      <c r="R344" s="147">
        <f t="shared" si="452"/>
        <v>0</v>
      </c>
      <c r="S344" s="147">
        <f t="shared" si="453"/>
        <v>0</v>
      </c>
      <c r="T344" s="200" t="str">
        <f t="shared" si="454"/>
        <v>B</v>
      </c>
      <c r="U344" s="214">
        <v>1</v>
      </c>
      <c r="V344" s="214">
        <v>1</v>
      </c>
      <c r="W344" s="214">
        <v>1</v>
      </c>
      <c r="X344" s="214">
        <v>1</v>
      </c>
      <c r="Y344" s="142"/>
      <c r="Z344" s="149">
        <f t="shared" si="563"/>
        <v>1795.0400000000002</v>
      </c>
      <c r="AA344" s="150">
        <f t="shared" si="564"/>
        <v>4.5615134117647065</v>
      </c>
      <c r="AE344" s="582">
        <f t="shared" si="565"/>
        <v>17.260000000000002</v>
      </c>
      <c r="AF344" s="582">
        <f t="shared" si="566"/>
        <v>0</v>
      </c>
    </row>
    <row r="345" spans="2:32" ht="18" customHeight="1">
      <c r="B345" s="142" t="s">
        <v>260</v>
      </c>
      <c r="C345" s="221" t="s">
        <v>187</v>
      </c>
      <c r="D345" s="51" t="s">
        <v>498</v>
      </c>
      <c r="E345" s="210"/>
      <c r="F345" s="51" t="s">
        <v>262</v>
      </c>
      <c r="G345" s="63" t="s">
        <v>263</v>
      </c>
      <c r="H345" s="51" t="s">
        <v>418</v>
      </c>
      <c r="I345" s="51">
        <v>15.58</v>
      </c>
      <c r="J345" s="213">
        <v>1104</v>
      </c>
      <c r="K345" s="146">
        <f t="shared" si="449"/>
        <v>104</v>
      </c>
      <c r="L345" s="147">
        <f t="shared" si="1"/>
        <v>4.1175190588235298</v>
      </c>
      <c r="M345" s="147">
        <f t="shared" si="2"/>
        <v>0</v>
      </c>
      <c r="N345" s="147">
        <f t="shared" si="3"/>
        <v>0</v>
      </c>
      <c r="O345" s="147">
        <f t="shared" si="4"/>
        <v>0</v>
      </c>
      <c r="P345" s="148">
        <f t="shared" si="450"/>
        <v>0.26428235294117647</v>
      </c>
      <c r="Q345" s="147">
        <f t="shared" si="451"/>
        <v>0</v>
      </c>
      <c r="R345" s="147">
        <f t="shared" si="452"/>
        <v>0</v>
      </c>
      <c r="S345" s="147">
        <f t="shared" si="453"/>
        <v>0</v>
      </c>
      <c r="T345" s="200" t="str">
        <f t="shared" si="454"/>
        <v>B</v>
      </c>
      <c r="U345" s="214">
        <v>1</v>
      </c>
      <c r="V345" s="214">
        <v>1</v>
      </c>
      <c r="W345" s="214">
        <v>1</v>
      </c>
      <c r="X345" s="214">
        <v>1</v>
      </c>
      <c r="Y345" s="142"/>
      <c r="Z345" s="149">
        <f t="shared" si="563"/>
        <v>1620.32</v>
      </c>
      <c r="AA345" s="150">
        <f t="shared" si="564"/>
        <v>4.1175190588235298</v>
      </c>
      <c r="AE345" s="582">
        <f t="shared" si="565"/>
        <v>15.58</v>
      </c>
      <c r="AF345" s="582">
        <f t="shared" si="566"/>
        <v>0</v>
      </c>
    </row>
    <row r="346" spans="2:32" ht="18" customHeight="1">
      <c r="B346" s="142" t="s">
        <v>499</v>
      </c>
      <c r="C346" s="221" t="s">
        <v>189</v>
      </c>
      <c r="D346" s="222">
        <v>0</v>
      </c>
      <c r="E346" s="210" t="s">
        <v>500</v>
      </c>
      <c r="F346" s="51" t="s">
        <v>501</v>
      </c>
      <c r="G346" s="63" t="s">
        <v>271</v>
      </c>
      <c r="H346" s="51" t="s">
        <v>502</v>
      </c>
      <c r="I346" s="51">
        <v>10</v>
      </c>
      <c r="J346" s="512">
        <v>5255</v>
      </c>
      <c r="K346" s="146">
        <f t="shared" si="449"/>
        <v>255</v>
      </c>
      <c r="L346" s="147">
        <f t="shared" si="1"/>
        <v>7.83</v>
      </c>
      <c r="M346" s="147">
        <f t="shared" si="2"/>
        <v>0</v>
      </c>
      <c r="N346" s="147">
        <f t="shared" si="3"/>
        <v>0</v>
      </c>
      <c r="O346" s="147">
        <f t="shared" si="4"/>
        <v>0</v>
      </c>
      <c r="P346" s="148">
        <f t="shared" si="450"/>
        <v>0.78300000000000003</v>
      </c>
      <c r="Q346" s="147">
        <f t="shared" si="451"/>
        <v>0</v>
      </c>
      <c r="R346" s="147">
        <f t="shared" si="452"/>
        <v>0</v>
      </c>
      <c r="S346" s="147">
        <f t="shared" si="453"/>
        <v>0</v>
      </c>
      <c r="T346" s="200" t="str">
        <f t="shared" si="454"/>
        <v>V</v>
      </c>
      <c r="U346" s="214">
        <v>1</v>
      </c>
      <c r="V346" s="214">
        <v>1</v>
      </c>
      <c r="W346" s="214">
        <v>1</v>
      </c>
      <c r="X346" s="214">
        <v>1</v>
      </c>
      <c r="Y346" s="142"/>
      <c r="Z346" s="149">
        <f t="shared" si="563"/>
        <v>2550</v>
      </c>
      <c r="AA346" s="150">
        <f t="shared" si="564"/>
        <v>7.83</v>
      </c>
      <c r="AE346" s="582">
        <f t="shared" si="565"/>
        <v>0</v>
      </c>
      <c r="AF346" s="582">
        <f t="shared" si="566"/>
        <v>0</v>
      </c>
    </row>
    <row r="347" spans="2:32" ht="18" customHeight="1">
      <c r="B347" s="142" t="s">
        <v>499</v>
      </c>
      <c r="C347" s="221" t="s">
        <v>189</v>
      </c>
      <c r="D347" s="222">
        <v>0</v>
      </c>
      <c r="E347" s="210" t="s">
        <v>503</v>
      </c>
      <c r="F347" s="51" t="s">
        <v>353</v>
      </c>
      <c r="G347" s="63" t="s">
        <v>271</v>
      </c>
      <c r="H347" s="51" t="s">
        <v>378</v>
      </c>
      <c r="I347" s="51">
        <v>25.6</v>
      </c>
      <c r="J347" s="512">
        <v>3255</v>
      </c>
      <c r="K347" s="146">
        <f t="shared" ref="K347:K378" si="591">SUM(IF(J347="",0,VLOOKUP(J347,Kengetal,2)))</f>
        <v>255</v>
      </c>
      <c r="L347" s="147">
        <f t="shared" si="1"/>
        <v>9.5744000000000007</v>
      </c>
      <c r="M347" s="147">
        <f t="shared" si="2"/>
        <v>0</v>
      </c>
      <c r="N347" s="147">
        <f t="shared" si="3"/>
        <v>0</v>
      </c>
      <c r="O347" s="147">
        <f t="shared" si="4"/>
        <v>0</v>
      </c>
      <c r="P347" s="148">
        <f t="shared" ref="P347:P410" si="592">IF($J347="",0,VLOOKUP($J347,Kengetal,5,FALSE))</f>
        <v>0.374</v>
      </c>
      <c r="Q347" s="147">
        <f t="shared" ref="Q347:Q410" si="593">IF($J347="",0,VLOOKUP($J347,Kengetal,6,FALSE))</f>
        <v>0</v>
      </c>
      <c r="R347" s="147">
        <f t="shared" ref="R347:R410" si="594">IF($J347="",0,VLOOKUP($J347,Kengetal,7,FALSE))</f>
        <v>0</v>
      </c>
      <c r="S347" s="147">
        <f t="shared" ref="S347:S410" si="595">IF($J347="",0,VLOOKUP($J347,Kengetal,8,FALSE))</f>
        <v>0</v>
      </c>
      <c r="T347" s="200" t="str">
        <f t="shared" ref="T347:T378" si="596">IF(J347="","",VLOOKUP(J347,Kengetal,13,FALSE))</f>
        <v>V</v>
      </c>
      <c r="U347" s="214">
        <v>1</v>
      </c>
      <c r="V347" s="214">
        <v>1</v>
      </c>
      <c r="W347" s="214">
        <v>1</v>
      </c>
      <c r="X347" s="214">
        <v>1</v>
      </c>
      <c r="Y347" s="142"/>
      <c r="Z347" s="149">
        <f t="shared" si="563"/>
        <v>6528</v>
      </c>
      <c r="AA347" s="150">
        <f t="shared" si="564"/>
        <v>9.5744000000000007</v>
      </c>
      <c r="AE347" s="582">
        <f t="shared" si="565"/>
        <v>0</v>
      </c>
      <c r="AF347" s="582">
        <f t="shared" si="566"/>
        <v>0</v>
      </c>
    </row>
    <row r="348" spans="2:32" ht="18" customHeight="1">
      <c r="B348" s="142" t="s">
        <v>499</v>
      </c>
      <c r="C348" s="221" t="s">
        <v>189</v>
      </c>
      <c r="D348" s="222">
        <v>0</v>
      </c>
      <c r="E348" s="210" t="s">
        <v>504</v>
      </c>
      <c r="F348" s="51" t="s">
        <v>353</v>
      </c>
      <c r="G348" s="63" t="s">
        <v>271</v>
      </c>
      <c r="H348" s="51" t="s">
        <v>76</v>
      </c>
      <c r="I348" s="51">
        <v>47.4</v>
      </c>
      <c r="J348" s="512">
        <v>3255</v>
      </c>
      <c r="K348" s="146">
        <f t="shared" si="591"/>
        <v>255</v>
      </c>
      <c r="L348" s="147">
        <f t="shared" si="1"/>
        <v>17.727599999999999</v>
      </c>
      <c r="M348" s="147">
        <f t="shared" si="2"/>
        <v>0</v>
      </c>
      <c r="N348" s="147">
        <f t="shared" si="3"/>
        <v>0</v>
      </c>
      <c r="O348" s="147">
        <f t="shared" si="4"/>
        <v>0</v>
      </c>
      <c r="P348" s="148">
        <f t="shared" si="592"/>
        <v>0.374</v>
      </c>
      <c r="Q348" s="147">
        <f t="shared" si="593"/>
        <v>0</v>
      </c>
      <c r="R348" s="147">
        <f t="shared" si="594"/>
        <v>0</v>
      </c>
      <c r="S348" s="147">
        <f t="shared" si="595"/>
        <v>0</v>
      </c>
      <c r="T348" s="200" t="str">
        <f t="shared" si="596"/>
        <v>V</v>
      </c>
      <c r="U348" s="214">
        <v>1</v>
      </c>
      <c r="V348" s="214">
        <v>1</v>
      </c>
      <c r="W348" s="214">
        <v>1</v>
      </c>
      <c r="X348" s="214">
        <v>1</v>
      </c>
      <c r="Y348" s="142"/>
      <c r="Z348" s="149">
        <f t="shared" si="563"/>
        <v>12087</v>
      </c>
      <c r="AA348" s="150">
        <f t="shared" si="564"/>
        <v>17.727599999999999</v>
      </c>
      <c r="AE348" s="582">
        <f t="shared" si="565"/>
        <v>0</v>
      </c>
      <c r="AF348" s="582">
        <f t="shared" si="566"/>
        <v>47.4</v>
      </c>
    </row>
    <row r="349" spans="2:32" ht="18" customHeight="1">
      <c r="B349" s="142" t="s">
        <v>499</v>
      </c>
      <c r="C349" s="221" t="s">
        <v>189</v>
      </c>
      <c r="D349" s="222">
        <v>0</v>
      </c>
      <c r="E349" s="210" t="s">
        <v>505</v>
      </c>
      <c r="F349" s="51" t="s">
        <v>265</v>
      </c>
      <c r="G349" s="63" t="s">
        <v>266</v>
      </c>
      <c r="H349" s="51" t="s">
        <v>378</v>
      </c>
      <c r="I349" s="51">
        <v>6.4</v>
      </c>
      <c r="J349" s="512">
        <v>2255</v>
      </c>
      <c r="K349" s="146">
        <f t="shared" si="591"/>
        <v>255</v>
      </c>
      <c r="L349" s="147">
        <f t="shared" si="1"/>
        <v>20.531200000000002</v>
      </c>
      <c r="M349" s="147">
        <f t="shared" si="2"/>
        <v>0</v>
      </c>
      <c r="N349" s="147">
        <f t="shared" si="3"/>
        <v>0</v>
      </c>
      <c r="O349" s="147">
        <f t="shared" si="4"/>
        <v>0</v>
      </c>
      <c r="P349" s="148">
        <f t="shared" si="592"/>
        <v>3.2080000000000002</v>
      </c>
      <c r="Q349" s="147">
        <f t="shared" si="593"/>
        <v>0</v>
      </c>
      <c r="R349" s="147">
        <f t="shared" si="594"/>
        <v>0</v>
      </c>
      <c r="S349" s="147">
        <f t="shared" si="595"/>
        <v>0</v>
      </c>
      <c r="T349" s="200" t="str">
        <f t="shared" si="596"/>
        <v>S</v>
      </c>
      <c r="U349" s="214">
        <v>1</v>
      </c>
      <c r="V349" s="214">
        <v>1</v>
      </c>
      <c r="W349" s="214">
        <v>1</v>
      </c>
      <c r="X349" s="214">
        <v>1</v>
      </c>
      <c r="Y349" s="142"/>
      <c r="Z349" s="149">
        <f t="shared" si="563"/>
        <v>1632</v>
      </c>
      <c r="AA349" s="150">
        <f t="shared" si="564"/>
        <v>20.531200000000002</v>
      </c>
      <c r="AE349" s="582">
        <f t="shared" si="565"/>
        <v>0</v>
      </c>
      <c r="AF349" s="582">
        <f t="shared" si="566"/>
        <v>0</v>
      </c>
    </row>
    <row r="350" spans="2:32" ht="18" customHeight="1">
      <c r="B350" s="142" t="s">
        <v>499</v>
      </c>
      <c r="C350" s="221" t="s">
        <v>189</v>
      </c>
      <c r="D350" s="222">
        <v>0</v>
      </c>
      <c r="E350" s="210" t="s">
        <v>506</v>
      </c>
      <c r="F350" s="51" t="s">
        <v>265</v>
      </c>
      <c r="G350" s="63" t="s">
        <v>266</v>
      </c>
      <c r="H350" s="51" t="s">
        <v>378</v>
      </c>
      <c r="I350" s="51">
        <v>7</v>
      </c>
      <c r="J350" s="512">
        <v>2255</v>
      </c>
      <c r="K350" s="146">
        <f t="shared" si="591"/>
        <v>255</v>
      </c>
      <c r="L350" s="147">
        <f t="shared" si="1"/>
        <v>22.456000000000003</v>
      </c>
      <c r="M350" s="147">
        <f t="shared" si="2"/>
        <v>0</v>
      </c>
      <c r="N350" s="147">
        <f t="shared" si="3"/>
        <v>0</v>
      </c>
      <c r="O350" s="147">
        <f t="shared" si="4"/>
        <v>0</v>
      </c>
      <c r="P350" s="148">
        <f t="shared" si="592"/>
        <v>3.2080000000000002</v>
      </c>
      <c r="Q350" s="147">
        <f t="shared" si="593"/>
        <v>0</v>
      </c>
      <c r="R350" s="147">
        <f t="shared" si="594"/>
        <v>0</v>
      </c>
      <c r="S350" s="147">
        <f t="shared" si="595"/>
        <v>0</v>
      </c>
      <c r="T350" s="200" t="str">
        <f t="shared" si="596"/>
        <v>S</v>
      </c>
      <c r="U350" s="214">
        <v>1</v>
      </c>
      <c r="V350" s="214">
        <v>1</v>
      </c>
      <c r="W350" s="214">
        <v>1</v>
      </c>
      <c r="X350" s="214">
        <v>1</v>
      </c>
      <c r="Y350" s="142"/>
      <c r="Z350" s="149">
        <f t="shared" si="563"/>
        <v>1785</v>
      </c>
      <c r="AA350" s="150">
        <f t="shared" si="564"/>
        <v>22.456000000000003</v>
      </c>
      <c r="AE350" s="582">
        <f t="shared" si="565"/>
        <v>0</v>
      </c>
      <c r="AF350" s="582">
        <f t="shared" si="566"/>
        <v>0</v>
      </c>
    </row>
    <row r="351" spans="2:32" ht="18" customHeight="1">
      <c r="B351" s="142" t="s">
        <v>499</v>
      </c>
      <c r="C351" s="221" t="s">
        <v>189</v>
      </c>
      <c r="D351" s="222">
        <v>0</v>
      </c>
      <c r="E351" s="210" t="s">
        <v>507</v>
      </c>
      <c r="F351" s="51" t="s">
        <v>353</v>
      </c>
      <c r="G351" s="63" t="s">
        <v>271</v>
      </c>
      <c r="H351" s="51" t="s">
        <v>378</v>
      </c>
      <c r="I351" s="51">
        <v>21.1</v>
      </c>
      <c r="J351" s="512">
        <v>3255</v>
      </c>
      <c r="K351" s="146">
        <f t="shared" si="591"/>
        <v>255</v>
      </c>
      <c r="L351" s="147">
        <f t="shared" si="1"/>
        <v>7.8914000000000009</v>
      </c>
      <c r="M351" s="147">
        <f t="shared" si="2"/>
        <v>0</v>
      </c>
      <c r="N351" s="147">
        <f t="shared" si="3"/>
        <v>0</v>
      </c>
      <c r="O351" s="147">
        <f t="shared" si="4"/>
        <v>0</v>
      </c>
      <c r="P351" s="148">
        <f t="shared" si="592"/>
        <v>0.374</v>
      </c>
      <c r="Q351" s="147">
        <f t="shared" si="593"/>
        <v>0</v>
      </c>
      <c r="R351" s="147">
        <f t="shared" si="594"/>
        <v>0</v>
      </c>
      <c r="S351" s="147">
        <f t="shared" si="595"/>
        <v>0</v>
      </c>
      <c r="T351" s="200" t="str">
        <f t="shared" si="596"/>
        <v>V</v>
      </c>
      <c r="U351" s="214">
        <v>1</v>
      </c>
      <c r="V351" s="214">
        <v>1</v>
      </c>
      <c r="W351" s="214">
        <v>1</v>
      </c>
      <c r="X351" s="214">
        <v>1</v>
      </c>
      <c r="Y351" s="142"/>
      <c r="Z351" s="149">
        <f t="shared" si="563"/>
        <v>5380.5</v>
      </c>
      <c r="AA351" s="150">
        <f t="shared" si="564"/>
        <v>7.8914000000000009</v>
      </c>
      <c r="AE351" s="582">
        <f t="shared" si="565"/>
        <v>0</v>
      </c>
      <c r="AF351" s="582">
        <f t="shared" si="566"/>
        <v>0</v>
      </c>
    </row>
    <row r="352" spans="2:32" ht="18" customHeight="1">
      <c r="B352" s="142" t="s">
        <v>499</v>
      </c>
      <c r="C352" s="221" t="s">
        <v>189</v>
      </c>
      <c r="D352" s="222">
        <v>0</v>
      </c>
      <c r="E352" s="210" t="s">
        <v>508</v>
      </c>
      <c r="F352" s="51" t="s">
        <v>509</v>
      </c>
      <c r="G352" s="63" t="s">
        <v>271</v>
      </c>
      <c r="H352" s="51" t="s">
        <v>76</v>
      </c>
      <c r="I352" s="51">
        <v>28.5</v>
      </c>
      <c r="J352" s="512">
        <v>18255</v>
      </c>
      <c r="K352" s="146">
        <f t="shared" si="591"/>
        <v>255</v>
      </c>
      <c r="L352" s="147">
        <f t="shared" si="1"/>
        <v>16.358999999999998</v>
      </c>
      <c r="M352" s="147">
        <f t="shared" si="2"/>
        <v>0</v>
      </c>
      <c r="N352" s="147">
        <f t="shared" si="3"/>
        <v>0</v>
      </c>
      <c r="O352" s="147">
        <f t="shared" si="4"/>
        <v>0</v>
      </c>
      <c r="P352" s="148">
        <f t="shared" si="592"/>
        <v>0.57399999999999995</v>
      </c>
      <c r="Q352" s="147">
        <f t="shared" si="593"/>
        <v>0</v>
      </c>
      <c r="R352" s="147">
        <f t="shared" si="594"/>
        <v>0</v>
      </c>
      <c r="S352" s="147">
        <f t="shared" si="595"/>
        <v>0</v>
      </c>
      <c r="T352" s="200" t="str">
        <f t="shared" si="596"/>
        <v>V</v>
      </c>
      <c r="U352" s="214">
        <v>1</v>
      </c>
      <c r="V352" s="214">
        <v>1</v>
      </c>
      <c r="W352" s="214">
        <v>1</v>
      </c>
      <c r="X352" s="214">
        <v>1</v>
      </c>
      <c r="Y352" s="142"/>
      <c r="Z352" s="149">
        <f t="shared" si="563"/>
        <v>7267.5</v>
      </c>
      <c r="AA352" s="150">
        <f t="shared" si="564"/>
        <v>16.358999999999998</v>
      </c>
      <c r="AE352" s="582">
        <f t="shared" si="565"/>
        <v>0</v>
      </c>
      <c r="AF352" s="582">
        <f t="shared" si="566"/>
        <v>28.5</v>
      </c>
    </row>
    <row r="353" spans="2:32" ht="18" customHeight="1">
      <c r="B353" s="142" t="s">
        <v>499</v>
      </c>
      <c r="C353" s="221" t="s">
        <v>189</v>
      </c>
      <c r="D353" s="222">
        <v>0</v>
      </c>
      <c r="E353" s="210" t="s">
        <v>510</v>
      </c>
      <c r="F353" s="51" t="s">
        <v>262</v>
      </c>
      <c r="G353" s="63" t="s">
        <v>263</v>
      </c>
      <c r="H353" s="51" t="s">
        <v>76</v>
      </c>
      <c r="I353" s="51">
        <v>14</v>
      </c>
      <c r="J353" s="512">
        <v>1255</v>
      </c>
      <c r="K353" s="146">
        <f t="shared" si="591"/>
        <v>255</v>
      </c>
      <c r="L353" s="147">
        <f t="shared" si="1"/>
        <v>7.5600000000000005</v>
      </c>
      <c r="M353" s="147">
        <f t="shared" si="2"/>
        <v>0</v>
      </c>
      <c r="N353" s="147">
        <f t="shared" si="3"/>
        <v>0</v>
      </c>
      <c r="O353" s="147">
        <f t="shared" si="4"/>
        <v>0</v>
      </c>
      <c r="P353" s="148">
        <f t="shared" si="592"/>
        <v>0.54</v>
      </c>
      <c r="Q353" s="147">
        <f t="shared" si="593"/>
        <v>0</v>
      </c>
      <c r="R353" s="147">
        <f t="shared" si="594"/>
        <v>0</v>
      </c>
      <c r="S353" s="147">
        <f t="shared" si="595"/>
        <v>0</v>
      </c>
      <c r="T353" s="200" t="str">
        <f t="shared" si="596"/>
        <v>B</v>
      </c>
      <c r="U353" s="214">
        <v>1</v>
      </c>
      <c r="V353" s="214">
        <v>1</v>
      </c>
      <c r="W353" s="214">
        <v>1</v>
      </c>
      <c r="X353" s="214">
        <v>1</v>
      </c>
      <c r="Y353" s="142"/>
      <c r="Z353" s="149">
        <f t="shared" si="563"/>
        <v>3570</v>
      </c>
      <c r="AA353" s="150">
        <f t="shared" si="564"/>
        <v>7.5600000000000005</v>
      </c>
      <c r="AE353" s="582">
        <f t="shared" si="565"/>
        <v>0</v>
      </c>
      <c r="AF353" s="582">
        <f t="shared" si="566"/>
        <v>14</v>
      </c>
    </row>
    <row r="354" spans="2:32" ht="18" customHeight="1">
      <c r="B354" s="142" t="s">
        <v>499</v>
      </c>
      <c r="C354" s="221" t="s">
        <v>189</v>
      </c>
      <c r="D354" s="222">
        <v>0</v>
      </c>
      <c r="E354" s="210" t="s">
        <v>511</v>
      </c>
      <c r="F354" s="160" t="s">
        <v>353</v>
      </c>
      <c r="G354" s="224" t="s">
        <v>271</v>
      </c>
      <c r="H354" s="225" t="s">
        <v>378</v>
      </c>
      <c r="I354" s="225">
        <v>7.7</v>
      </c>
      <c r="J354" s="226">
        <v>3255</v>
      </c>
      <c r="K354" s="146">
        <f t="shared" si="591"/>
        <v>255</v>
      </c>
      <c r="L354" s="147">
        <f t="shared" si="1"/>
        <v>2.8797999999999999</v>
      </c>
      <c r="M354" s="147">
        <f t="shared" si="2"/>
        <v>0</v>
      </c>
      <c r="N354" s="147">
        <f t="shared" si="3"/>
        <v>0</v>
      </c>
      <c r="O354" s="147">
        <f t="shared" si="4"/>
        <v>0</v>
      </c>
      <c r="P354" s="148">
        <f t="shared" si="592"/>
        <v>0.374</v>
      </c>
      <c r="Q354" s="147">
        <f t="shared" si="593"/>
        <v>0</v>
      </c>
      <c r="R354" s="147">
        <f t="shared" si="594"/>
        <v>0</v>
      </c>
      <c r="S354" s="147">
        <f t="shared" si="595"/>
        <v>0</v>
      </c>
      <c r="T354" s="200" t="str">
        <f t="shared" si="596"/>
        <v>V</v>
      </c>
      <c r="U354" s="214">
        <v>1</v>
      </c>
      <c r="V354" s="214">
        <v>1</v>
      </c>
      <c r="W354" s="214">
        <v>1</v>
      </c>
      <c r="X354" s="214">
        <v>1</v>
      </c>
      <c r="Y354" s="142"/>
      <c r="Z354" s="149">
        <f t="shared" si="563"/>
        <v>1963.5</v>
      </c>
      <c r="AA354" s="150">
        <f t="shared" si="564"/>
        <v>2.8797999999999999</v>
      </c>
      <c r="AE354" s="582">
        <f t="shared" si="565"/>
        <v>0</v>
      </c>
      <c r="AF354" s="582">
        <f t="shared" si="566"/>
        <v>0</v>
      </c>
    </row>
    <row r="355" spans="2:32" ht="18" customHeight="1">
      <c r="B355" s="142" t="s">
        <v>499</v>
      </c>
      <c r="C355" s="221" t="s">
        <v>189</v>
      </c>
      <c r="D355" s="222">
        <v>0</v>
      </c>
      <c r="E355" s="210" t="s">
        <v>512</v>
      </c>
      <c r="F355" s="227" t="s">
        <v>471</v>
      </c>
      <c r="G355" s="228" t="s">
        <v>271</v>
      </c>
      <c r="H355" s="51" t="s">
        <v>267</v>
      </c>
      <c r="I355" s="229">
        <v>22.8</v>
      </c>
      <c r="J355" s="230" t="s">
        <v>161</v>
      </c>
      <c r="K355" s="146">
        <f t="shared" si="591"/>
        <v>0</v>
      </c>
      <c r="L355" s="147">
        <f t="shared" si="1"/>
        <v>0</v>
      </c>
      <c r="M355" s="147">
        <f t="shared" si="2"/>
        <v>0</v>
      </c>
      <c r="N355" s="147">
        <f t="shared" si="3"/>
        <v>0</v>
      </c>
      <c r="O355" s="147">
        <f t="shared" si="4"/>
        <v>0</v>
      </c>
      <c r="P355" s="148">
        <f t="shared" si="592"/>
        <v>0</v>
      </c>
      <c r="Q355" s="147">
        <f t="shared" si="593"/>
        <v>0</v>
      </c>
      <c r="R355" s="147">
        <f t="shared" si="594"/>
        <v>0</v>
      </c>
      <c r="S355" s="147">
        <f t="shared" si="595"/>
        <v>0</v>
      </c>
      <c r="T355" s="200" t="str">
        <f t="shared" si="596"/>
        <v>nvt</v>
      </c>
      <c r="U355" s="214">
        <v>1</v>
      </c>
      <c r="V355" s="214">
        <v>1</v>
      </c>
      <c r="W355" s="214">
        <v>1</v>
      </c>
      <c r="X355" s="214">
        <v>1</v>
      </c>
      <c r="Y355" s="142"/>
      <c r="Z355" s="149">
        <f t="shared" si="563"/>
        <v>0</v>
      </c>
      <c r="AA355" s="150">
        <f t="shared" si="564"/>
        <v>0</v>
      </c>
      <c r="AE355" s="582">
        <f t="shared" si="565"/>
        <v>0</v>
      </c>
      <c r="AF355" s="582">
        <f t="shared" si="566"/>
        <v>0</v>
      </c>
    </row>
    <row r="356" spans="2:32" ht="18" customHeight="1">
      <c r="B356" s="142" t="s">
        <v>499</v>
      </c>
      <c r="C356" s="221" t="s">
        <v>189</v>
      </c>
      <c r="D356" s="222">
        <v>0</v>
      </c>
      <c r="E356" s="210" t="s">
        <v>513</v>
      </c>
      <c r="F356" s="227" t="s">
        <v>501</v>
      </c>
      <c r="G356" s="228" t="s">
        <v>271</v>
      </c>
      <c r="H356" s="51" t="s">
        <v>267</v>
      </c>
      <c r="I356" s="229">
        <v>22.8</v>
      </c>
      <c r="J356" s="230">
        <v>5255</v>
      </c>
      <c r="K356" s="146">
        <f t="shared" si="591"/>
        <v>255</v>
      </c>
      <c r="L356" s="147">
        <f t="shared" si="1"/>
        <v>17.852400000000003</v>
      </c>
      <c r="M356" s="147">
        <f t="shared" si="2"/>
        <v>0</v>
      </c>
      <c r="N356" s="147">
        <f t="shared" si="3"/>
        <v>0</v>
      </c>
      <c r="O356" s="147">
        <f t="shared" si="4"/>
        <v>0</v>
      </c>
      <c r="P356" s="148">
        <f t="shared" si="592"/>
        <v>0.78300000000000003</v>
      </c>
      <c r="Q356" s="147">
        <f t="shared" si="593"/>
        <v>0</v>
      </c>
      <c r="R356" s="147">
        <f t="shared" si="594"/>
        <v>0</v>
      </c>
      <c r="S356" s="147">
        <f t="shared" si="595"/>
        <v>0</v>
      </c>
      <c r="T356" s="200" t="str">
        <f t="shared" si="596"/>
        <v>V</v>
      </c>
      <c r="U356" s="214">
        <v>1</v>
      </c>
      <c r="V356" s="214">
        <v>1</v>
      </c>
      <c r="W356" s="214">
        <v>1</v>
      </c>
      <c r="X356" s="214">
        <v>1</v>
      </c>
      <c r="Y356" s="142"/>
      <c r="Z356" s="149">
        <f t="shared" si="563"/>
        <v>5814</v>
      </c>
      <c r="AA356" s="150">
        <f t="shared" si="564"/>
        <v>17.852400000000003</v>
      </c>
      <c r="AE356" s="582">
        <f t="shared" si="565"/>
        <v>0</v>
      </c>
      <c r="AF356" s="582">
        <f t="shared" si="566"/>
        <v>0</v>
      </c>
    </row>
    <row r="357" spans="2:32" ht="18" customHeight="1">
      <c r="B357" s="142" t="s">
        <v>499</v>
      </c>
      <c r="C357" s="221" t="s">
        <v>189</v>
      </c>
      <c r="D357" s="222">
        <v>0</v>
      </c>
      <c r="E357" s="210" t="s">
        <v>514</v>
      </c>
      <c r="F357" s="160" t="s">
        <v>144</v>
      </c>
      <c r="G357" s="224" t="s">
        <v>271</v>
      </c>
      <c r="H357" s="225" t="s">
        <v>76</v>
      </c>
      <c r="I357" s="225">
        <v>4.5</v>
      </c>
      <c r="J357" s="226">
        <v>8255</v>
      </c>
      <c r="K357" s="146">
        <f t="shared" si="591"/>
        <v>255</v>
      </c>
      <c r="L357" s="147">
        <f t="shared" si="1"/>
        <v>9</v>
      </c>
      <c r="M357" s="147">
        <f t="shared" si="2"/>
        <v>0</v>
      </c>
      <c r="N357" s="147">
        <f t="shared" si="3"/>
        <v>0</v>
      </c>
      <c r="O357" s="147">
        <f t="shared" si="4"/>
        <v>0</v>
      </c>
      <c r="P357" s="148">
        <f t="shared" si="592"/>
        <v>2</v>
      </c>
      <c r="Q357" s="147">
        <f t="shared" si="593"/>
        <v>0</v>
      </c>
      <c r="R357" s="147">
        <f t="shared" si="594"/>
        <v>0</v>
      </c>
      <c r="S357" s="147">
        <f t="shared" si="595"/>
        <v>0</v>
      </c>
      <c r="T357" s="200" t="str">
        <f t="shared" si="596"/>
        <v>V</v>
      </c>
      <c r="U357" s="214">
        <v>1</v>
      </c>
      <c r="V357" s="214">
        <v>1</v>
      </c>
      <c r="W357" s="214">
        <v>1</v>
      </c>
      <c r="X357" s="214">
        <v>1</v>
      </c>
      <c r="Y357" s="142"/>
      <c r="Z357" s="149">
        <f t="shared" si="563"/>
        <v>1147.5</v>
      </c>
      <c r="AA357" s="150">
        <f t="shared" si="564"/>
        <v>9</v>
      </c>
      <c r="AE357" s="582">
        <f t="shared" si="565"/>
        <v>0</v>
      </c>
      <c r="AF357" s="582">
        <f t="shared" si="566"/>
        <v>4.5</v>
      </c>
    </row>
    <row r="358" spans="2:32" ht="18" customHeight="1">
      <c r="B358" s="142" t="s">
        <v>499</v>
      </c>
      <c r="C358" s="221" t="s">
        <v>189</v>
      </c>
      <c r="D358" s="222">
        <v>0</v>
      </c>
      <c r="E358" s="210" t="s">
        <v>515</v>
      </c>
      <c r="F358" s="227" t="s">
        <v>353</v>
      </c>
      <c r="G358" s="228" t="s">
        <v>271</v>
      </c>
      <c r="H358" s="229" t="s">
        <v>378</v>
      </c>
      <c r="I358" s="229">
        <v>16.3</v>
      </c>
      <c r="J358" s="230">
        <v>3255</v>
      </c>
      <c r="K358" s="146">
        <f t="shared" si="591"/>
        <v>255</v>
      </c>
      <c r="L358" s="147">
        <f t="shared" si="1"/>
        <v>6.0962000000000005</v>
      </c>
      <c r="M358" s="147">
        <f t="shared" si="2"/>
        <v>0</v>
      </c>
      <c r="N358" s="147">
        <f t="shared" si="3"/>
        <v>0</v>
      </c>
      <c r="O358" s="147">
        <f t="shared" si="4"/>
        <v>0</v>
      </c>
      <c r="P358" s="148">
        <f t="shared" si="592"/>
        <v>0.374</v>
      </c>
      <c r="Q358" s="147">
        <f t="shared" si="593"/>
        <v>0</v>
      </c>
      <c r="R358" s="147">
        <f t="shared" si="594"/>
        <v>0</v>
      </c>
      <c r="S358" s="147">
        <f t="shared" si="595"/>
        <v>0</v>
      </c>
      <c r="T358" s="200" t="str">
        <f t="shared" si="596"/>
        <v>V</v>
      </c>
      <c r="U358" s="214">
        <v>1</v>
      </c>
      <c r="V358" s="214">
        <v>1</v>
      </c>
      <c r="W358" s="214">
        <v>1</v>
      </c>
      <c r="X358" s="214">
        <v>1</v>
      </c>
      <c r="Y358" s="142"/>
      <c r="Z358" s="149">
        <f t="shared" si="563"/>
        <v>4156.5</v>
      </c>
      <c r="AA358" s="150">
        <f t="shared" si="564"/>
        <v>6.0962000000000005</v>
      </c>
      <c r="AE358" s="582">
        <f t="shared" si="565"/>
        <v>0</v>
      </c>
      <c r="AF358" s="582">
        <f t="shared" si="566"/>
        <v>0</v>
      </c>
    </row>
    <row r="359" spans="2:32" ht="18" customHeight="1">
      <c r="B359" s="142" t="s">
        <v>499</v>
      </c>
      <c r="C359" s="221" t="s">
        <v>189</v>
      </c>
      <c r="D359" s="222">
        <v>0</v>
      </c>
      <c r="E359" s="210" t="s">
        <v>516</v>
      </c>
      <c r="F359" s="227" t="s">
        <v>353</v>
      </c>
      <c r="G359" s="228" t="s">
        <v>271</v>
      </c>
      <c r="H359" s="229" t="s">
        <v>378</v>
      </c>
      <c r="I359" s="229">
        <v>16.3</v>
      </c>
      <c r="J359" s="230">
        <v>3255</v>
      </c>
      <c r="K359" s="146">
        <f t="shared" si="591"/>
        <v>255</v>
      </c>
      <c r="L359" s="147">
        <f t="shared" si="1"/>
        <v>6.0962000000000005</v>
      </c>
      <c r="M359" s="147">
        <f t="shared" si="2"/>
        <v>0</v>
      </c>
      <c r="N359" s="147">
        <f t="shared" si="3"/>
        <v>0</v>
      </c>
      <c r="O359" s="147">
        <f t="shared" si="4"/>
        <v>0</v>
      </c>
      <c r="P359" s="148">
        <f t="shared" si="592"/>
        <v>0.374</v>
      </c>
      <c r="Q359" s="147">
        <f t="shared" si="593"/>
        <v>0</v>
      </c>
      <c r="R359" s="147">
        <f t="shared" si="594"/>
        <v>0</v>
      </c>
      <c r="S359" s="147">
        <f t="shared" si="595"/>
        <v>0</v>
      </c>
      <c r="T359" s="200" t="str">
        <f t="shared" si="596"/>
        <v>V</v>
      </c>
      <c r="U359" s="214">
        <v>1</v>
      </c>
      <c r="V359" s="214">
        <v>1</v>
      </c>
      <c r="W359" s="214">
        <v>1</v>
      </c>
      <c r="X359" s="214">
        <v>1</v>
      </c>
      <c r="Y359" s="142"/>
      <c r="Z359" s="149">
        <f t="shared" si="563"/>
        <v>4156.5</v>
      </c>
      <c r="AA359" s="150">
        <f t="shared" si="564"/>
        <v>6.0962000000000005</v>
      </c>
      <c r="AE359" s="582">
        <f t="shared" si="565"/>
        <v>0</v>
      </c>
      <c r="AF359" s="582">
        <f t="shared" si="566"/>
        <v>0</v>
      </c>
    </row>
    <row r="360" spans="2:32" ht="18" customHeight="1">
      <c r="B360" s="142" t="s">
        <v>499</v>
      </c>
      <c r="C360" s="221" t="s">
        <v>189</v>
      </c>
      <c r="D360" s="222">
        <v>0</v>
      </c>
      <c r="E360" s="210" t="s">
        <v>517</v>
      </c>
      <c r="F360" s="160" t="s">
        <v>518</v>
      </c>
      <c r="G360" s="224" t="s">
        <v>271</v>
      </c>
      <c r="H360" s="225" t="s">
        <v>76</v>
      </c>
      <c r="I360" s="225">
        <v>51.6</v>
      </c>
      <c r="J360" s="226">
        <v>18255</v>
      </c>
      <c r="K360" s="146">
        <f t="shared" si="591"/>
        <v>255</v>
      </c>
      <c r="L360" s="147">
        <f t="shared" si="1"/>
        <v>29.618399999999998</v>
      </c>
      <c r="M360" s="147">
        <f t="shared" si="2"/>
        <v>0</v>
      </c>
      <c r="N360" s="147">
        <f t="shared" si="3"/>
        <v>0</v>
      </c>
      <c r="O360" s="147">
        <f t="shared" si="4"/>
        <v>0</v>
      </c>
      <c r="P360" s="148">
        <f t="shared" si="592"/>
        <v>0.57399999999999995</v>
      </c>
      <c r="Q360" s="147">
        <f t="shared" si="593"/>
        <v>0</v>
      </c>
      <c r="R360" s="147">
        <f t="shared" si="594"/>
        <v>0</v>
      </c>
      <c r="S360" s="147">
        <f t="shared" si="595"/>
        <v>0</v>
      </c>
      <c r="T360" s="200" t="str">
        <f t="shared" si="596"/>
        <v>V</v>
      </c>
      <c r="U360" s="214">
        <v>1</v>
      </c>
      <c r="V360" s="214">
        <v>1</v>
      </c>
      <c r="W360" s="214">
        <v>1</v>
      </c>
      <c r="X360" s="214">
        <v>1</v>
      </c>
      <c r="Y360" s="142"/>
      <c r="Z360" s="149">
        <f t="shared" si="563"/>
        <v>13158</v>
      </c>
      <c r="AA360" s="150">
        <f t="shared" si="564"/>
        <v>29.618399999999998</v>
      </c>
      <c r="AE360" s="582">
        <f t="shared" si="565"/>
        <v>0</v>
      </c>
      <c r="AF360" s="582">
        <f t="shared" si="566"/>
        <v>51.6</v>
      </c>
    </row>
    <row r="361" spans="2:32" ht="18" customHeight="1">
      <c r="B361" s="142" t="s">
        <v>499</v>
      </c>
      <c r="C361" s="221" t="s">
        <v>189</v>
      </c>
      <c r="D361" s="222">
        <v>0</v>
      </c>
      <c r="E361" s="210" t="s">
        <v>519</v>
      </c>
      <c r="F361" s="227" t="s">
        <v>265</v>
      </c>
      <c r="G361" s="228" t="s">
        <v>266</v>
      </c>
      <c r="H361" s="229" t="s">
        <v>378</v>
      </c>
      <c r="I361" s="229">
        <v>9.6</v>
      </c>
      <c r="J361" s="230">
        <v>2255</v>
      </c>
      <c r="K361" s="146">
        <f t="shared" si="591"/>
        <v>255</v>
      </c>
      <c r="L361" s="147">
        <f t="shared" si="1"/>
        <v>30.796800000000001</v>
      </c>
      <c r="M361" s="147">
        <f t="shared" si="2"/>
        <v>0</v>
      </c>
      <c r="N361" s="147">
        <f t="shared" si="3"/>
        <v>0</v>
      </c>
      <c r="O361" s="147">
        <f t="shared" si="4"/>
        <v>0</v>
      </c>
      <c r="P361" s="148">
        <f t="shared" si="592"/>
        <v>3.2080000000000002</v>
      </c>
      <c r="Q361" s="147">
        <f t="shared" si="593"/>
        <v>0</v>
      </c>
      <c r="R361" s="147">
        <f t="shared" si="594"/>
        <v>0</v>
      </c>
      <c r="S361" s="147">
        <f t="shared" si="595"/>
        <v>0</v>
      </c>
      <c r="T361" s="200" t="str">
        <f t="shared" si="596"/>
        <v>S</v>
      </c>
      <c r="U361" s="214">
        <v>1</v>
      </c>
      <c r="V361" s="214">
        <v>1</v>
      </c>
      <c r="W361" s="214">
        <v>1</v>
      </c>
      <c r="X361" s="214">
        <v>1</v>
      </c>
      <c r="Y361" s="142"/>
      <c r="Z361" s="149">
        <f t="shared" si="563"/>
        <v>2448</v>
      </c>
      <c r="AA361" s="150">
        <f t="shared" si="564"/>
        <v>30.796800000000001</v>
      </c>
      <c r="AE361" s="582">
        <f t="shared" si="565"/>
        <v>0</v>
      </c>
      <c r="AF361" s="582">
        <f t="shared" si="566"/>
        <v>0</v>
      </c>
    </row>
    <row r="362" spans="2:32" ht="18" customHeight="1">
      <c r="B362" s="142" t="s">
        <v>499</v>
      </c>
      <c r="C362" s="221" t="s">
        <v>189</v>
      </c>
      <c r="D362" s="222">
        <v>0</v>
      </c>
      <c r="E362" s="210" t="s">
        <v>520</v>
      </c>
      <c r="F362" s="227" t="s">
        <v>353</v>
      </c>
      <c r="G362" s="228" t="s">
        <v>271</v>
      </c>
      <c r="H362" s="229" t="s">
        <v>378</v>
      </c>
      <c r="I362" s="229">
        <v>4.5</v>
      </c>
      <c r="J362" s="230">
        <v>3255</v>
      </c>
      <c r="K362" s="146">
        <f t="shared" si="591"/>
        <v>255</v>
      </c>
      <c r="L362" s="147">
        <f t="shared" si="1"/>
        <v>1.6830000000000001</v>
      </c>
      <c r="M362" s="147">
        <f t="shared" si="2"/>
        <v>0</v>
      </c>
      <c r="N362" s="147">
        <f t="shared" si="3"/>
        <v>0</v>
      </c>
      <c r="O362" s="147">
        <f t="shared" si="4"/>
        <v>0</v>
      </c>
      <c r="P362" s="148">
        <f t="shared" si="592"/>
        <v>0.374</v>
      </c>
      <c r="Q362" s="147">
        <f t="shared" si="593"/>
        <v>0</v>
      </c>
      <c r="R362" s="147">
        <f t="shared" si="594"/>
        <v>0</v>
      </c>
      <c r="S362" s="147">
        <f t="shared" si="595"/>
        <v>0</v>
      </c>
      <c r="T362" s="200" t="str">
        <f t="shared" si="596"/>
        <v>V</v>
      </c>
      <c r="U362" s="214">
        <v>1</v>
      </c>
      <c r="V362" s="214">
        <v>1</v>
      </c>
      <c r="W362" s="214">
        <v>1</v>
      </c>
      <c r="X362" s="214">
        <v>1</v>
      </c>
      <c r="Y362" s="142"/>
      <c r="Z362" s="149">
        <f t="shared" si="563"/>
        <v>1147.5</v>
      </c>
      <c r="AA362" s="150">
        <f t="shared" si="564"/>
        <v>1.6830000000000001</v>
      </c>
      <c r="AE362" s="582">
        <f t="shared" si="565"/>
        <v>0</v>
      </c>
      <c r="AF362" s="582">
        <f t="shared" si="566"/>
        <v>0</v>
      </c>
    </row>
    <row r="363" spans="2:32" ht="18" customHeight="1">
      <c r="B363" s="142" t="s">
        <v>499</v>
      </c>
      <c r="C363" s="221" t="s">
        <v>189</v>
      </c>
      <c r="D363" s="143">
        <v>1</v>
      </c>
      <c r="E363" s="210">
        <v>101</v>
      </c>
      <c r="F363" s="160" t="s">
        <v>521</v>
      </c>
      <c r="G363" s="224" t="s">
        <v>271</v>
      </c>
      <c r="H363" s="225" t="s">
        <v>76</v>
      </c>
      <c r="I363" s="225">
        <v>8.3000000000000007</v>
      </c>
      <c r="J363" s="226">
        <v>3255</v>
      </c>
      <c r="K363" s="146">
        <f t="shared" si="591"/>
        <v>255</v>
      </c>
      <c r="L363" s="147">
        <f t="shared" si="1"/>
        <v>3.1042000000000001</v>
      </c>
      <c r="M363" s="147">
        <f t="shared" si="2"/>
        <v>0</v>
      </c>
      <c r="N363" s="147">
        <f t="shared" si="3"/>
        <v>0</v>
      </c>
      <c r="O363" s="147">
        <f t="shared" si="4"/>
        <v>0</v>
      </c>
      <c r="P363" s="148">
        <f t="shared" si="592"/>
        <v>0.374</v>
      </c>
      <c r="Q363" s="147">
        <f t="shared" si="593"/>
        <v>0</v>
      </c>
      <c r="R363" s="147">
        <f t="shared" si="594"/>
        <v>0</v>
      </c>
      <c r="S363" s="147">
        <f t="shared" si="595"/>
        <v>0</v>
      </c>
      <c r="T363" s="200" t="str">
        <f t="shared" si="596"/>
        <v>V</v>
      </c>
      <c r="U363" s="214">
        <v>1</v>
      </c>
      <c r="V363" s="214">
        <v>1</v>
      </c>
      <c r="W363" s="214">
        <v>1</v>
      </c>
      <c r="X363" s="214">
        <v>1</v>
      </c>
      <c r="Y363" s="142"/>
      <c r="Z363" s="149">
        <f t="shared" si="563"/>
        <v>2116.5</v>
      </c>
      <c r="AA363" s="150">
        <f t="shared" si="564"/>
        <v>3.1042000000000001</v>
      </c>
      <c r="AE363" s="582">
        <f t="shared" si="565"/>
        <v>0</v>
      </c>
      <c r="AF363" s="582">
        <f t="shared" si="566"/>
        <v>8.3000000000000007</v>
      </c>
    </row>
    <row r="364" spans="2:32" ht="18" customHeight="1">
      <c r="B364" s="142" t="s">
        <v>499</v>
      </c>
      <c r="C364" s="221" t="s">
        <v>189</v>
      </c>
      <c r="D364" s="143">
        <v>1</v>
      </c>
      <c r="E364" s="210">
        <v>102</v>
      </c>
      <c r="F364" s="227" t="s">
        <v>353</v>
      </c>
      <c r="G364" s="228" t="s">
        <v>271</v>
      </c>
      <c r="H364" s="229" t="s">
        <v>76</v>
      </c>
      <c r="I364" s="229">
        <v>47.4</v>
      </c>
      <c r="J364" s="230">
        <v>3255</v>
      </c>
      <c r="K364" s="146">
        <f t="shared" si="591"/>
        <v>255</v>
      </c>
      <c r="L364" s="147">
        <f t="shared" ref="L364:L378" si="597">P364*I364*U364</f>
        <v>17.727599999999999</v>
      </c>
      <c r="M364" s="147">
        <f t="shared" ref="M364:M378" si="598">Q364*I364*V364</f>
        <v>0</v>
      </c>
      <c r="N364" s="147">
        <f t="shared" ref="N364:N378" si="599">R364*I364*W364</f>
        <v>0</v>
      </c>
      <c r="O364" s="147">
        <f t="shared" ref="O364:O378" si="600">S364*I364*X364</f>
        <v>0</v>
      </c>
      <c r="P364" s="148">
        <f t="shared" si="592"/>
        <v>0.374</v>
      </c>
      <c r="Q364" s="147">
        <f t="shared" si="593"/>
        <v>0</v>
      </c>
      <c r="R364" s="147">
        <f t="shared" si="594"/>
        <v>0</v>
      </c>
      <c r="S364" s="147">
        <f t="shared" si="595"/>
        <v>0</v>
      </c>
      <c r="T364" s="200" t="str">
        <f t="shared" si="596"/>
        <v>V</v>
      </c>
      <c r="U364" s="214">
        <v>1</v>
      </c>
      <c r="V364" s="214">
        <v>1</v>
      </c>
      <c r="W364" s="214">
        <v>1</v>
      </c>
      <c r="X364" s="214">
        <v>1</v>
      </c>
      <c r="Y364" s="142"/>
      <c r="Z364" s="149">
        <f t="shared" si="563"/>
        <v>12087</v>
      </c>
      <c r="AA364" s="150">
        <f t="shared" si="564"/>
        <v>17.727599999999999</v>
      </c>
      <c r="AE364" s="582">
        <f t="shared" si="565"/>
        <v>0</v>
      </c>
      <c r="AF364" s="582">
        <f t="shared" si="566"/>
        <v>47.4</v>
      </c>
    </row>
    <row r="365" spans="2:32" ht="18" customHeight="1">
      <c r="B365" s="142" t="s">
        <v>499</v>
      </c>
      <c r="C365" s="221" t="s">
        <v>189</v>
      </c>
      <c r="D365" s="143">
        <v>1</v>
      </c>
      <c r="E365" s="210">
        <v>103</v>
      </c>
      <c r="F365" s="227" t="s">
        <v>451</v>
      </c>
      <c r="G365" s="228" t="s">
        <v>266</v>
      </c>
      <c r="H365" s="229" t="s">
        <v>378</v>
      </c>
      <c r="I365" s="229">
        <v>2.2000000000000002</v>
      </c>
      <c r="J365" s="230">
        <v>2255</v>
      </c>
      <c r="K365" s="146">
        <f t="shared" si="591"/>
        <v>255</v>
      </c>
      <c r="L365" s="147">
        <f t="shared" si="597"/>
        <v>7.0576000000000008</v>
      </c>
      <c r="M365" s="147">
        <f t="shared" si="598"/>
        <v>0</v>
      </c>
      <c r="N365" s="147">
        <f t="shared" si="599"/>
        <v>0</v>
      </c>
      <c r="O365" s="147">
        <f t="shared" si="600"/>
        <v>0</v>
      </c>
      <c r="P365" s="148">
        <f t="shared" si="592"/>
        <v>3.2080000000000002</v>
      </c>
      <c r="Q365" s="147">
        <f t="shared" si="593"/>
        <v>0</v>
      </c>
      <c r="R365" s="147">
        <f t="shared" si="594"/>
        <v>0</v>
      </c>
      <c r="S365" s="147">
        <f t="shared" si="595"/>
        <v>0</v>
      </c>
      <c r="T365" s="200" t="str">
        <f t="shared" si="596"/>
        <v>S</v>
      </c>
      <c r="U365" s="214">
        <v>1</v>
      </c>
      <c r="V365" s="214">
        <v>1</v>
      </c>
      <c r="W365" s="214">
        <v>1</v>
      </c>
      <c r="X365" s="214">
        <v>1</v>
      </c>
      <c r="Y365" s="142"/>
      <c r="Z365" s="149">
        <f t="shared" si="563"/>
        <v>561</v>
      </c>
      <c r="AA365" s="150">
        <f t="shared" si="564"/>
        <v>7.0576000000000008</v>
      </c>
      <c r="AE365" s="582">
        <f t="shared" si="565"/>
        <v>0</v>
      </c>
      <c r="AF365" s="582">
        <f t="shared" si="566"/>
        <v>0</v>
      </c>
    </row>
    <row r="366" spans="2:32" ht="18" customHeight="1">
      <c r="B366" s="142" t="s">
        <v>499</v>
      </c>
      <c r="C366" s="221" t="s">
        <v>189</v>
      </c>
      <c r="D366" s="143">
        <v>1</v>
      </c>
      <c r="E366" s="210">
        <v>104</v>
      </c>
      <c r="F366" s="51" t="s">
        <v>353</v>
      </c>
      <c r="G366" s="63" t="s">
        <v>271</v>
      </c>
      <c r="H366" s="51" t="s">
        <v>76</v>
      </c>
      <c r="I366" s="51">
        <v>2.25</v>
      </c>
      <c r="J366" s="512">
        <v>3255</v>
      </c>
      <c r="K366" s="146">
        <f t="shared" si="591"/>
        <v>255</v>
      </c>
      <c r="L366" s="147">
        <f t="shared" si="597"/>
        <v>0.84150000000000003</v>
      </c>
      <c r="M366" s="147">
        <f t="shared" si="598"/>
        <v>0</v>
      </c>
      <c r="N366" s="147">
        <f t="shared" si="599"/>
        <v>0</v>
      </c>
      <c r="O366" s="147">
        <f t="shared" si="600"/>
        <v>0</v>
      </c>
      <c r="P366" s="148">
        <f t="shared" si="592"/>
        <v>0.374</v>
      </c>
      <c r="Q366" s="147">
        <f t="shared" si="593"/>
        <v>0</v>
      </c>
      <c r="R366" s="147">
        <f t="shared" si="594"/>
        <v>0</v>
      </c>
      <c r="S366" s="147">
        <f t="shared" si="595"/>
        <v>0</v>
      </c>
      <c r="T366" s="200" t="str">
        <f t="shared" si="596"/>
        <v>V</v>
      </c>
      <c r="U366" s="214">
        <v>1</v>
      </c>
      <c r="V366" s="214">
        <v>1</v>
      </c>
      <c r="W366" s="214">
        <v>1</v>
      </c>
      <c r="X366" s="214">
        <v>1</v>
      </c>
      <c r="Y366" s="142"/>
      <c r="Z366" s="149">
        <f t="shared" si="563"/>
        <v>573.75</v>
      </c>
      <c r="AA366" s="150">
        <f t="shared" si="564"/>
        <v>0.84150000000000003</v>
      </c>
      <c r="AE366" s="582">
        <f t="shared" si="565"/>
        <v>0</v>
      </c>
      <c r="AF366" s="582">
        <f t="shared" si="566"/>
        <v>2.25</v>
      </c>
    </row>
    <row r="367" spans="2:32" ht="18" customHeight="1">
      <c r="B367" s="142" t="s">
        <v>499</v>
      </c>
      <c r="C367" s="221" t="s">
        <v>189</v>
      </c>
      <c r="D367" s="143">
        <v>1</v>
      </c>
      <c r="E367" s="210">
        <v>105</v>
      </c>
      <c r="F367" s="51" t="s">
        <v>451</v>
      </c>
      <c r="G367" s="63" t="s">
        <v>266</v>
      </c>
      <c r="H367" s="51" t="s">
        <v>378</v>
      </c>
      <c r="I367" s="51">
        <v>4.75</v>
      </c>
      <c r="J367" s="512">
        <v>2255</v>
      </c>
      <c r="K367" s="146">
        <f t="shared" si="591"/>
        <v>255</v>
      </c>
      <c r="L367" s="147">
        <f t="shared" si="597"/>
        <v>15.238000000000001</v>
      </c>
      <c r="M367" s="147">
        <f t="shared" si="598"/>
        <v>0</v>
      </c>
      <c r="N367" s="147">
        <f t="shared" si="599"/>
        <v>0</v>
      </c>
      <c r="O367" s="147">
        <f t="shared" si="600"/>
        <v>0</v>
      </c>
      <c r="P367" s="148">
        <f t="shared" si="592"/>
        <v>3.2080000000000002</v>
      </c>
      <c r="Q367" s="147">
        <f t="shared" si="593"/>
        <v>0</v>
      </c>
      <c r="R367" s="147">
        <f t="shared" si="594"/>
        <v>0</v>
      </c>
      <c r="S367" s="147">
        <f t="shared" si="595"/>
        <v>0</v>
      </c>
      <c r="T367" s="200" t="str">
        <f t="shared" si="596"/>
        <v>S</v>
      </c>
      <c r="U367" s="214">
        <v>1</v>
      </c>
      <c r="V367" s="214">
        <v>1</v>
      </c>
      <c r="W367" s="214">
        <v>1</v>
      </c>
      <c r="X367" s="214">
        <v>1</v>
      </c>
      <c r="Y367" s="142"/>
      <c r="Z367" s="149">
        <f t="shared" si="563"/>
        <v>1211.25</v>
      </c>
      <c r="AA367" s="150">
        <f t="shared" si="564"/>
        <v>15.238000000000001</v>
      </c>
      <c r="AE367" s="582">
        <f t="shared" si="565"/>
        <v>0</v>
      </c>
      <c r="AF367" s="582">
        <f t="shared" si="566"/>
        <v>0</v>
      </c>
    </row>
    <row r="368" spans="2:32" ht="18" customHeight="1">
      <c r="B368" s="142" t="s">
        <v>499</v>
      </c>
      <c r="C368" s="221" t="s">
        <v>189</v>
      </c>
      <c r="D368" s="143">
        <v>1</v>
      </c>
      <c r="E368" s="210">
        <v>106</v>
      </c>
      <c r="F368" s="51" t="s">
        <v>353</v>
      </c>
      <c r="G368" s="63" t="s">
        <v>271</v>
      </c>
      <c r="H368" s="51" t="s">
        <v>76</v>
      </c>
      <c r="I368" s="51">
        <v>18.5</v>
      </c>
      <c r="J368" s="213">
        <v>3255</v>
      </c>
      <c r="K368" s="146">
        <f t="shared" si="591"/>
        <v>255</v>
      </c>
      <c r="L368" s="147">
        <f t="shared" si="597"/>
        <v>6.9189999999999996</v>
      </c>
      <c r="M368" s="147">
        <f t="shared" si="598"/>
        <v>0</v>
      </c>
      <c r="N368" s="147">
        <f t="shared" si="599"/>
        <v>0</v>
      </c>
      <c r="O368" s="147">
        <f t="shared" si="600"/>
        <v>0</v>
      </c>
      <c r="P368" s="148">
        <f t="shared" si="592"/>
        <v>0.374</v>
      </c>
      <c r="Q368" s="147">
        <f t="shared" si="593"/>
        <v>0</v>
      </c>
      <c r="R368" s="147">
        <f t="shared" si="594"/>
        <v>0</v>
      </c>
      <c r="S368" s="147">
        <f t="shared" si="595"/>
        <v>0</v>
      </c>
      <c r="T368" s="200" t="str">
        <f t="shared" si="596"/>
        <v>V</v>
      </c>
      <c r="U368" s="214">
        <v>1</v>
      </c>
      <c r="V368" s="214">
        <v>1</v>
      </c>
      <c r="W368" s="214">
        <v>1</v>
      </c>
      <c r="X368" s="214">
        <v>1</v>
      </c>
      <c r="Y368" s="142"/>
      <c r="Z368" s="149">
        <f t="shared" si="563"/>
        <v>4717.5</v>
      </c>
      <c r="AA368" s="150">
        <f t="shared" si="564"/>
        <v>6.9189999999999996</v>
      </c>
      <c r="AE368" s="582">
        <f t="shared" si="565"/>
        <v>0</v>
      </c>
      <c r="AF368" s="582">
        <f t="shared" si="566"/>
        <v>18.5</v>
      </c>
    </row>
    <row r="369" spans="2:32" ht="18" customHeight="1">
      <c r="B369" s="142" t="s">
        <v>499</v>
      </c>
      <c r="C369" s="221" t="s">
        <v>189</v>
      </c>
      <c r="D369" s="143">
        <v>1</v>
      </c>
      <c r="E369" s="210">
        <v>107</v>
      </c>
      <c r="F369" s="51" t="s">
        <v>353</v>
      </c>
      <c r="G369" s="63" t="s">
        <v>271</v>
      </c>
      <c r="H369" s="51" t="s">
        <v>76</v>
      </c>
      <c r="I369" s="51">
        <v>6.2</v>
      </c>
      <c r="J369" s="213">
        <v>3255</v>
      </c>
      <c r="K369" s="146">
        <f t="shared" si="591"/>
        <v>255</v>
      </c>
      <c r="L369" s="147">
        <f t="shared" si="597"/>
        <v>2.3188</v>
      </c>
      <c r="M369" s="147">
        <f t="shared" si="598"/>
        <v>0</v>
      </c>
      <c r="N369" s="147">
        <f t="shared" si="599"/>
        <v>0</v>
      </c>
      <c r="O369" s="147">
        <f t="shared" si="600"/>
        <v>0</v>
      </c>
      <c r="P369" s="148">
        <f t="shared" si="592"/>
        <v>0.374</v>
      </c>
      <c r="Q369" s="147">
        <f t="shared" si="593"/>
        <v>0</v>
      </c>
      <c r="R369" s="147">
        <f t="shared" si="594"/>
        <v>0</v>
      </c>
      <c r="S369" s="147">
        <f t="shared" si="595"/>
        <v>0</v>
      </c>
      <c r="T369" s="200" t="str">
        <f t="shared" si="596"/>
        <v>V</v>
      </c>
      <c r="U369" s="214">
        <v>1</v>
      </c>
      <c r="V369" s="214">
        <v>1</v>
      </c>
      <c r="W369" s="214">
        <v>1</v>
      </c>
      <c r="X369" s="214">
        <v>1</v>
      </c>
      <c r="Y369" s="142"/>
      <c r="Z369" s="149">
        <f t="shared" si="563"/>
        <v>1581</v>
      </c>
      <c r="AA369" s="150">
        <f t="shared" si="564"/>
        <v>2.3188</v>
      </c>
      <c r="AE369" s="582">
        <f t="shared" si="565"/>
        <v>0</v>
      </c>
      <c r="AF369" s="582">
        <f t="shared" si="566"/>
        <v>6.2</v>
      </c>
    </row>
    <row r="370" spans="2:32" ht="18" customHeight="1">
      <c r="B370" s="142" t="s">
        <v>499</v>
      </c>
      <c r="C370" s="221" t="s">
        <v>189</v>
      </c>
      <c r="D370" s="143">
        <v>1</v>
      </c>
      <c r="E370" s="210">
        <v>108</v>
      </c>
      <c r="F370" s="51" t="s">
        <v>521</v>
      </c>
      <c r="G370" s="63" t="s">
        <v>271</v>
      </c>
      <c r="H370" s="51" t="s">
        <v>76</v>
      </c>
      <c r="I370" s="51">
        <v>6</v>
      </c>
      <c r="J370" s="213">
        <v>3255</v>
      </c>
      <c r="K370" s="146">
        <f t="shared" si="591"/>
        <v>255</v>
      </c>
      <c r="L370" s="147">
        <f t="shared" si="597"/>
        <v>2.2439999999999998</v>
      </c>
      <c r="M370" s="147">
        <f t="shared" si="598"/>
        <v>0</v>
      </c>
      <c r="N370" s="147">
        <f t="shared" si="599"/>
        <v>0</v>
      </c>
      <c r="O370" s="147">
        <f t="shared" si="600"/>
        <v>0</v>
      </c>
      <c r="P370" s="148">
        <f t="shared" si="592"/>
        <v>0.374</v>
      </c>
      <c r="Q370" s="147">
        <f t="shared" si="593"/>
        <v>0</v>
      </c>
      <c r="R370" s="147">
        <f t="shared" si="594"/>
        <v>0</v>
      </c>
      <c r="S370" s="147">
        <f t="shared" si="595"/>
        <v>0</v>
      </c>
      <c r="T370" s="200" t="str">
        <f t="shared" si="596"/>
        <v>V</v>
      </c>
      <c r="U370" s="214">
        <v>1</v>
      </c>
      <c r="V370" s="214">
        <v>1</v>
      </c>
      <c r="W370" s="214">
        <v>1</v>
      </c>
      <c r="X370" s="214">
        <v>1</v>
      </c>
      <c r="Y370" s="142"/>
      <c r="Z370" s="149">
        <f t="shared" si="563"/>
        <v>1530</v>
      </c>
      <c r="AA370" s="150">
        <f t="shared" si="564"/>
        <v>2.2439999999999998</v>
      </c>
      <c r="AE370" s="582">
        <f t="shared" si="565"/>
        <v>0</v>
      </c>
      <c r="AF370" s="582">
        <f t="shared" si="566"/>
        <v>6</v>
      </c>
    </row>
    <row r="371" spans="2:32" ht="18" customHeight="1">
      <c r="B371" s="142" t="s">
        <v>499</v>
      </c>
      <c r="C371" s="221" t="s">
        <v>189</v>
      </c>
      <c r="D371" s="143">
        <v>1</v>
      </c>
      <c r="E371" s="210">
        <v>109</v>
      </c>
      <c r="F371" s="51" t="s">
        <v>353</v>
      </c>
      <c r="G371" s="63" t="s">
        <v>271</v>
      </c>
      <c r="H371" s="51" t="s">
        <v>76</v>
      </c>
      <c r="I371" s="51">
        <v>20.5</v>
      </c>
      <c r="J371" s="512">
        <v>3255</v>
      </c>
      <c r="K371" s="146">
        <f t="shared" si="591"/>
        <v>255</v>
      </c>
      <c r="L371" s="147">
        <f t="shared" si="597"/>
        <v>7.6669999999999998</v>
      </c>
      <c r="M371" s="147">
        <f t="shared" si="598"/>
        <v>0</v>
      </c>
      <c r="N371" s="147">
        <f t="shared" si="599"/>
        <v>0</v>
      </c>
      <c r="O371" s="147">
        <f t="shared" si="600"/>
        <v>0</v>
      </c>
      <c r="P371" s="148">
        <f t="shared" si="592"/>
        <v>0.374</v>
      </c>
      <c r="Q371" s="147">
        <f t="shared" si="593"/>
        <v>0</v>
      </c>
      <c r="R371" s="147">
        <f t="shared" si="594"/>
        <v>0</v>
      </c>
      <c r="S371" s="147">
        <f t="shared" si="595"/>
        <v>0</v>
      </c>
      <c r="T371" s="200" t="str">
        <f t="shared" si="596"/>
        <v>V</v>
      </c>
      <c r="U371" s="214">
        <v>1</v>
      </c>
      <c r="V371" s="214">
        <v>1</v>
      </c>
      <c r="W371" s="214">
        <v>1</v>
      </c>
      <c r="X371" s="214">
        <v>1</v>
      </c>
      <c r="Y371" s="142"/>
      <c r="Z371" s="149">
        <f t="shared" si="563"/>
        <v>5227.5</v>
      </c>
      <c r="AA371" s="150">
        <f t="shared" si="564"/>
        <v>7.6669999999999998</v>
      </c>
      <c r="AE371" s="582">
        <f t="shared" si="565"/>
        <v>0</v>
      </c>
      <c r="AF371" s="582">
        <f t="shared" si="566"/>
        <v>20.5</v>
      </c>
    </row>
    <row r="372" spans="2:32" ht="18" customHeight="1">
      <c r="B372" s="142" t="s">
        <v>499</v>
      </c>
      <c r="C372" s="221" t="s">
        <v>189</v>
      </c>
      <c r="D372" s="143">
        <v>1</v>
      </c>
      <c r="E372" s="210">
        <v>110</v>
      </c>
      <c r="F372" s="51" t="s">
        <v>265</v>
      </c>
      <c r="G372" s="63" t="s">
        <v>266</v>
      </c>
      <c r="H372" s="51" t="s">
        <v>378</v>
      </c>
      <c r="I372" s="51">
        <v>10.8</v>
      </c>
      <c r="J372" s="213">
        <v>2255</v>
      </c>
      <c r="K372" s="146">
        <f t="shared" si="591"/>
        <v>255</v>
      </c>
      <c r="L372" s="147">
        <f t="shared" si="597"/>
        <v>34.646400000000007</v>
      </c>
      <c r="M372" s="147">
        <f t="shared" si="598"/>
        <v>0</v>
      </c>
      <c r="N372" s="147">
        <f t="shared" si="599"/>
        <v>0</v>
      </c>
      <c r="O372" s="147">
        <f t="shared" si="600"/>
        <v>0</v>
      </c>
      <c r="P372" s="148">
        <f t="shared" si="592"/>
        <v>3.2080000000000002</v>
      </c>
      <c r="Q372" s="147">
        <f t="shared" si="593"/>
        <v>0</v>
      </c>
      <c r="R372" s="147">
        <f t="shared" si="594"/>
        <v>0</v>
      </c>
      <c r="S372" s="147">
        <f t="shared" si="595"/>
        <v>0</v>
      </c>
      <c r="T372" s="200" t="str">
        <f t="shared" si="596"/>
        <v>S</v>
      </c>
      <c r="U372" s="214">
        <v>1</v>
      </c>
      <c r="V372" s="214">
        <v>1</v>
      </c>
      <c r="W372" s="214">
        <v>1</v>
      </c>
      <c r="X372" s="214">
        <v>1</v>
      </c>
      <c r="Y372" s="142"/>
      <c r="Z372" s="149">
        <f t="shared" si="563"/>
        <v>2754</v>
      </c>
      <c r="AA372" s="150">
        <f t="shared" si="564"/>
        <v>34.646400000000007</v>
      </c>
      <c r="AE372" s="582">
        <f t="shared" si="565"/>
        <v>0</v>
      </c>
      <c r="AF372" s="582">
        <f t="shared" si="566"/>
        <v>0</v>
      </c>
    </row>
    <row r="373" spans="2:32" ht="18" customHeight="1">
      <c r="B373" s="142" t="s">
        <v>499</v>
      </c>
      <c r="C373" s="221" t="s">
        <v>189</v>
      </c>
      <c r="D373" s="143">
        <v>1</v>
      </c>
      <c r="E373" s="210">
        <v>111</v>
      </c>
      <c r="F373" s="51" t="s">
        <v>522</v>
      </c>
      <c r="G373" s="63" t="s">
        <v>266</v>
      </c>
      <c r="H373" s="51" t="s">
        <v>523</v>
      </c>
      <c r="I373" s="51">
        <v>16</v>
      </c>
      <c r="J373" s="213" t="s">
        <v>161</v>
      </c>
      <c r="K373" s="146">
        <f t="shared" si="591"/>
        <v>0</v>
      </c>
      <c r="L373" s="147">
        <f t="shared" si="597"/>
        <v>0</v>
      </c>
      <c r="M373" s="147">
        <f t="shared" si="598"/>
        <v>0</v>
      </c>
      <c r="N373" s="147">
        <f t="shared" si="599"/>
        <v>0</v>
      </c>
      <c r="O373" s="147">
        <f t="shared" si="600"/>
        <v>0</v>
      </c>
      <c r="P373" s="148">
        <f t="shared" si="592"/>
        <v>0</v>
      </c>
      <c r="Q373" s="147">
        <f t="shared" si="593"/>
        <v>0</v>
      </c>
      <c r="R373" s="147">
        <f t="shared" si="594"/>
        <v>0</v>
      </c>
      <c r="S373" s="147">
        <f t="shared" si="595"/>
        <v>0</v>
      </c>
      <c r="T373" s="200" t="str">
        <f t="shared" si="596"/>
        <v>nvt</v>
      </c>
      <c r="U373" s="214">
        <v>1</v>
      </c>
      <c r="V373" s="214">
        <v>1</v>
      </c>
      <c r="W373" s="214">
        <v>1</v>
      </c>
      <c r="X373" s="214">
        <v>1</v>
      </c>
      <c r="Y373" s="142"/>
      <c r="Z373" s="149">
        <f t="shared" si="563"/>
        <v>0</v>
      </c>
      <c r="AA373" s="150">
        <f t="shared" si="564"/>
        <v>0</v>
      </c>
      <c r="AE373" s="582">
        <f t="shared" si="565"/>
        <v>0</v>
      </c>
      <c r="AF373" s="582">
        <f t="shared" si="566"/>
        <v>0</v>
      </c>
    </row>
    <row r="374" spans="2:32" ht="18" customHeight="1">
      <c r="B374" s="142" t="s">
        <v>499</v>
      </c>
      <c r="C374" s="221" t="s">
        <v>189</v>
      </c>
      <c r="D374" s="143">
        <v>1</v>
      </c>
      <c r="E374" s="210">
        <v>112</v>
      </c>
      <c r="F374" s="51" t="s">
        <v>522</v>
      </c>
      <c r="G374" s="63" t="s">
        <v>266</v>
      </c>
      <c r="H374" s="51" t="s">
        <v>523</v>
      </c>
      <c r="I374" s="51">
        <v>16</v>
      </c>
      <c r="J374" s="213" t="s">
        <v>161</v>
      </c>
      <c r="K374" s="146">
        <f t="shared" si="591"/>
        <v>0</v>
      </c>
      <c r="L374" s="147">
        <f t="shared" si="597"/>
        <v>0</v>
      </c>
      <c r="M374" s="147">
        <f t="shared" si="598"/>
        <v>0</v>
      </c>
      <c r="N374" s="147">
        <f t="shared" si="599"/>
        <v>0</v>
      </c>
      <c r="O374" s="147">
        <f t="shared" si="600"/>
        <v>0</v>
      </c>
      <c r="P374" s="148">
        <f t="shared" si="592"/>
        <v>0</v>
      </c>
      <c r="Q374" s="147">
        <f t="shared" si="593"/>
        <v>0</v>
      </c>
      <c r="R374" s="147">
        <f t="shared" si="594"/>
        <v>0</v>
      </c>
      <c r="S374" s="147">
        <f t="shared" si="595"/>
        <v>0</v>
      </c>
      <c r="T374" s="200" t="str">
        <f t="shared" si="596"/>
        <v>nvt</v>
      </c>
      <c r="U374" s="214">
        <v>1</v>
      </c>
      <c r="V374" s="214">
        <v>1</v>
      </c>
      <c r="W374" s="214">
        <v>1</v>
      </c>
      <c r="X374" s="214">
        <v>1</v>
      </c>
      <c r="Y374" s="142"/>
      <c r="Z374" s="149">
        <f t="shared" si="563"/>
        <v>0</v>
      </c>
      <c r="AA374" s="150">
        <f t="shared" si="564"/>
        <v>0</v>
      </c>
      <c r="AE374" s="582">
        <f t="shared" si="565"/>
        <v>0</v>
      </c>
      <c r="AF374" s="582">
        <f t="shared" si="566"/>
        <v>0</v>
      </c>
    </row>
    <row r="375" spans="2:32" ht="18" customHeight="1">
      <c r="B375" s="142" t="s">
        <v>524</v>
      </c>
      <c r="C375" s="221" t="s">
        <v>188</v>
      </c>
      <c r="D375" s="222">
        <v>0</v>
      </c>
      <c r="E375" s="210" t="s">
        <v>500</v>
      </c>
      <c r="F375" s="51" t="s">
        <v>262</v>
      </c>
      <c r="G375" s="63" t="s">
        <v>263</v>
      </c>
      <c r="H375" s="51" t="s">
        <v>525</v>
      </c>
      <c r="I375" s="51">
        <v>22.8</v>
      </c>
      <c r="J375" s="213">
        <v>1255</v>
      </c>
      <c r="K375" s="146">
        <f t="shared" si="591"/>
        <v>255</v>
      </c>
      <c r="L375" s="147">
        <f t="shared" si="597"/>
        <v>12.312000000000001</v>
      </c>
      <c r="M375" s="147">
        <f t="shared" si="598"/>
        <v>0</v>
      </c>
      <c r="N375" s="147">
        <f t="shared" si="599"/>
        <v>0</v>
      </c>
      <c r="O375" s="147">
        <f t="shared" si="600"/>
        <v>0</v>
      </c>
      <c r="P375" s="148">
        <f t="shared" si="592"/>
        <v>0.54</v>
      </c>
      <c r="Q375" s="147">
        <f t="shared" si="593"/>
        <v>0</v>
      </c>
      <c r="R375" s="147">
        <f t="shared" si="594"/>
        <v>0</v>
      </c>
      <c r="S375" s="147">
        <f t="shared" si="595"/>
        <v>0</v>
      </c>
      <c r="T375" s="200" t="str">
        <f t="shared" si="596"/>
        <v>B</v>
      </c>
      <c r="U375" s="214">
        <v>1</v>
      </c>
      <c r="V375" s="214">
        <v>1</v>
      </c>
      <c r="W375" s="214">
        <v>1</v>
      </c>
      <c r="X375" s="214">
        <v>1</v>
      </c>
      <c r="Y375" s="142"/>
      <c r="Z375" s="149">
        <f t="shared" si="563"/>
        <v>5814</v>
      </c>
      <c r="AA375" s="150">
        <f t="shared" si="564"/>
        <v>12.312000000000001</v>
      </c>
      <c r="AE375" s="582">
        <f t="shared" si="565"/>
        <v>0</v>
      </c>
      <c r="AF375" s="582">
        <f t="shared" si="566"/>
        <v>0</v>
      </c>
    </row>
    <row r="376" spans="2:32" ht="18" customHeight="1">
      <c r="B376" s="142" t="s">
        <v>524</v>
      </c>
      <c r="C376" s="221" t="s">
        <v>188</v>
      </c>
      <c r="D376" s="222">
        <v>0</v>
      </c>
      <c r="E376" s="210" t="s">
        <v>503</v>
      </c>
      <c r="F376" s="51" t="s">
        <v>144</v>
      </c>
      <c r="G376" s="63" t="s">
        <v>271</v>
      </c>
      <c r="H376" s="51" t="s">
        <v>525</v>
      </c>
      <c r="I376" s="51">
        <v>25.4</v>
      </c>
      <c r="J376" s="213">
        <v>8255</v>
      </c>
      <c r="K376" s="146">
        <f t="shared" si="591"/>
        <v>255</v>
      </c>
      <c r="L376" s="147">
        <f t="shared" si="597"/>
        <v>50.8</v>
      </c>
      <c r="M376" s="147">
        <f t="shared" si="598"/>
        <v>0</v>
      </c>
      <c r="N376" s="147">
        <f t="shared" si="599"/>
        <v>0</v>
      </c>
      <c r="O376" s="147">
        <f t="shared" si="600"/>
        <v>0</v>
      </c>
      <c r="P376" s="148">
        <f t="shared" si="592"/>
        <v>2</v>
      </c>
      <c r="Q376" s="147">
        <f t="shared" si="593"/>
        <v>0</v>
      </c>
      <c r="R376" s="147">
        <f t="shared" si="594"/>
        <v>0</v>
      </c>
      <c r="S376" s="147">
        <f t="shared" si="595"/>
        <v>0</v>
      </c>
      <c r="T376" s="200" t="str">
        <f t="shared" si="596"/>
        <v>V</v>
      </c>
      <c r="U376" s="214">
        <v>1</v>
      </c>
      <c r="V376" s="214">
        <v>1</v>
      </c>
      <c r="W376" s="214">
        <v>1</v>
      </c>
      <c r="X376" s="214">
        <v>1</v>
      </c>
      <c r="Y376" s="142"/>
      <c r="Z376" s="149">
        <f t="shared" si="563"/>
        <v>6477</v>
      </c>
      <c r="AA376" s="150">
        <f t="shared" si="564"/>
        <v>50.8</v>
      </c>
      <c r="AE376" s="582">
        <f t="shared" si="565"/>
        <v>0</v>
      </c>
      <c r="AF376" s="582">
        <f t="shared" si="566"/>
        <v>0</v>
      </c>
    </row>
    <row r="377" spans="2:32" ht="18" customHeight="1">
      <c r="B377" s="142" t="s">
        <v>524</v>
      </c>
      <c r="C377" s="221" t="s">
        <v>188</v>
      </c>
      <c r="D377" s="222">
        <v>0</v>
      </c>
      <c r="E377" s="51" t="s">
        <v>504</v>
      </c>
      <c r="F377" s="51" t="s">
        <v>353</v>
      </c>
      <c r="G377" s="63" t="s">
        <v>271</v>
      </c>
      <c r="H377" s="51" t="s">
        <v>525</v>
      </c>
      <c r="I377" s="51">
        <v>28.3</v>
      </c>
      <c r="J377" s="213">
        <v>3255</v>
      </c>
      <c r="K377" s="146">
        <f t="shared" si="591"/>
        <v>255</v>
      </c>
      <c r="L377" s="147">
        <f t="shared" si="597"/>
        <v>10.584200000000001</v>
      </c>
      <c r="M377" s="147">
        <f t="shared" si="598"/>
        <v>0</v>
      </c>
      <c r="N377" s="147">
        <f t="shared" si="599"/>
        <v>0</v>
      </c>
      <c r="O377" s="147">
        <f t="shared" si="600"/>
        <v>0</v>
      </c>
      <c r="P377" s="148">
        <f t="shared" si="592"/>
        <v>0.374</v>
      </c>
      <c r="Q377" s="147">
        <f t="shared" si="593"/>
        <v>0</v>
      </c>
      <c r="R377" s="147">
        <f t="shared" si="594"/>
        <v>0</v>
      </c>
      <c r="S377" s="147">
        <f t="shared" si="595"/>
        <v>0</v>
      </c>
      <c r="T377" s="200" t="str">
        <f t="shared" si="596"/>
        <v>V</v>
      </c>
      <c r="U377" s="214">
        <v>1</v>
      </c>
      <c r="V377" s="214">
        <v>1</v>
      </c>
      <c r="W377" s="214">
        <v>1</v>
      </c>
      <c r="X377" s="214">
        <v>1</v>
      </c>
      <c r="Y377" s="142"/>
      <c r="Z377" s="149">
        <f t="shared" si="563"/>
        <v>7216.5</v>
      </c>
      <c r="AA377" s="150">
        <f t="shared" si="564"/>
        <v>10.584200000000001</v>
      </c>
      <c r="AE377" s="582">
        <f t="shared" si="565"/>
        <v>0</v>
      </c>
      <c r="AF377" s="582">
        <f t="shared" si="566"/>
        <v>0</v>
      </c>
    </row>
    <row r="378" spans="2:32" ht="18" customHeight="1">
      <c r="B378" s="142" t="s">
        <v>524</v>
      </c>
      <c r="C378" s="221" t="s">
        <v>188</v>
      </c>
      <c r="D378" s="222">
        <v>0</v>
      </c>
      <c r="E378" s="51" t="s">
        <v>505</v>
      </c>
      <c r="F378" s="51" t="s">
        <v>265</v>
      </c>
      <c r="G378" s="63" t="s">
        <v>266</v>
      </c>
      <c r="H378" s="51" t="s">
        <v>267</v>
      </c>
      <c r="I378" s="51">
        <v>1.04</v>
      </c>
      <c r="J378" s="213">
        <v>2255</v>
      </c>
      <c r="K378" s="146">
        <f t="shared" si="591"/>
        <v>255</v>
      </c>
      <c r="L378" s="147">
        <f t="shared" si="597"/>
        <v>3.3363200000000002</v>
      </c>
      <c r="M378" s="147">
        <f t="shared" si="598"/>
        <v>0</v>
      </c>
      <c r="N378" s="147">
        <f t="shared" si="599"/>
        <v>0</v>
      </c>
      <c r="O378" s="147">
        <f t="shared" si="600"/>
        <v>0</v>
      </c>
      <c r="P378" s="148">
        <f t="shared" si="592"/>
        <v>3.2080000000000002</v>
      </c>
      <c r="Q378" s="147">
        <f t="shared" si="593"/>
        <v>0</v>
      </c>
      <c r="R378" s="147">
        <f t="shared" si="594"/>
        <v>0</v>
      </c>
      <c r="S378" s="147">
        <f t="shared" si="595"/>
        <v>0</v>
      </c>
      <c r="T378" s="200" t="str">
        <f t="shared" si="596"/>
        <v>S</v>
      </c>
      <c r="U378" s="214">
        <v>1</v>
      </c>
      <c r="V378" s="214">
        <v>1</v>
      </c>
      <c r="W378" s="214">
        <v>1</v>
      </c>
      <c r="X378" s="214">
        <v>1</v>
      </c>
      <c r="Y378" s="142"/>
      <c r="Z378" s="149">
        <f t="shared" si="563"/>
        <v>265.2</v>
      </c>
      <c r="AA378" s="150">
        <f t="shared" si="564"/>
        <v>3.3363200000000002</v>
      </c>
      <c r="AE378" s="582">
        <f t="shared" si="565"/>
        <v>0</v>
      </c>
      <c r="AF378" s="582">
        <f t="shared" si="566"/>
        <v>0</v>
      </c>
    </row>
    <row r="379" spans="2:32" ht="18" customHeight="1">
      <c r="B379" s="142" t="s">
        <v>524</v>
      </c>
      <c r="C379" s="221" t="s">
        <v>188</v>
      </c>
      <c r="D379" s="222">
        <v>0</v>
      </c>
      <c r="E379" s="51" t="s">
        <v>506</v>
      </c>
      <c r="F379" s="51" t="s">
        <v>265</v>
      </c>
      <c r="G379" s="63" t="s">
        <v>266</v>
      </c>
      <c r="H379" s="51" t="s">
        <v>267</v>
      </c>
      <c r="I379" s="51">
        <v>1.04</v>
      </c>
      <c r="J379" s="213">
        <v>2255</v>
      </c>
      <c r="K379" s="146">
        <f t="shared" ref="K379" si="601">SUM(IF(J379="",0,VLOOKUP(J379,Kengetal,2)))</f>
        <v>255</v>
      </c>
      <c r="L379" s="147">
        <f t="shared" ref="L379" si="602">P379*I379*U379</f>
        <v>3.3363200000000002</v>
      </c>
      <c r="M379" s="147">
        <f t="shared" ref="M379" si="603">Q379*I379*V379</f>
        <v>0</v>
      </c>
      <c r="N379" s="147">
        <f t="shared" ref="N379" si="604">R379*I379*W379</f>
        <v>0</v>
      </c>
      <c r="O379" s="147">
        <f t="shared" ref="O379" si="605">S379*I379*X379</f>
        <v>0</v>
      </c>
      <c r="P379" s="148">
        <f t="shared" si="592"/>
        <v>3.2080000000000002</v>
      </c>
      <c r="Q379" s="147">
        <f t="shared" si="593"/>
        <v>0</v>
      </c>
      <c r="R379" s="147">
        <f t="shared" si="594"/>
        <v>0</v>
      </c>
      <c r="S379" s="147">
        <f t="shared" si="595"/>
        <v>0</v>
      </c>
      <c r="T379" s="200" t="str">
        <f t="shared" ref="T379" si="606">IF(J379="","",VLOOKUP(J379,Kengetal,13,FALSE))</f>
        <v>S</v>
      </c>
      <c r="U379" s="214">
        <v>1</v>
      </c>
      <c r="V379" s="214">
        <v>1</v>
      </c>
      <c r="W379" s="214">
        <v>1</v>
      </c>
      <c r="X379" s="214">
        <v>1</v>
      </c>
      <c r="Y379" s="142"/>
      <c r="Z379" s="149">
        <f t="shared" si="563"/>
        <v>265.2</v>
      </c>
      <c r="AA379" s="150">
        <f t="shared" si="564"/>
        <v>3.3363200000000002</v>
      </c>
      <c r="AE379" s="582">
        <f t="shared" si="565"/>
        <v>0</v>
      </c>
      <c r="AF379" s="582">
        <f t="shared" si="566"/>
        <v>0</v>
      </c>
    </row>
    <row r="380" spans="2:32" ht="18" customHeight="1">
      <c r="B380" s="142" t="s">
        <v>524</v>
      </c>
      <c r="C380" s="221" t="s">
        <v>188</v>
      </c>
      <c r="D380" s="222">
        <v>0</v>
      </c>
      <c r="E380" s="51" t="s">
        <v>507</v>
      </c>
      <c r="F380" s="51" t="s">
        <v>265</v>
      </c>
      <c r="G380" s="63" t="s">
        <v>266</v>
      </c>
      <c r="H380" s="51" t="s">
        <v>267</v>
      </c>
      <c r="I380" s="51">
        <v>1.04</v>
      </c>
      <c r="J380" s="213">
        <v>2255</v>
      </c>
      <c r="K380" s="146">
        <f t="shared" ref="K380" si="607">SUM(IF(J380="",0,VLOOKUP(J380,Kengetal,2)))</f>
        <v>255</v>
      </c>
      <c r="L380" s="147">
        <f t="shared" ref="L380" si="608">P380*I380*U380</f>
        <v>3.3363200000000002</v>
      </c>
      <c r="M380" s="147">
        <f t="shared" ref="M380" si="609">Q380*I380*V380</f>
        <v>0</v>
      </c>
      <c r="N380" s="147">
        <f t="shared" ref="N380" si="610">R380*I380*W380</f>
        <v>0</v>
      </c>
      <c r="O380" s="147">
        <f t="shared" ref="O380" si="611">S380*I380*X380</f>
        <v>0</v>
      </c>
      <c r="P380" s="148">
        <f t="shared" si="592"/>
        <v>3.2080000000000002</v>
      </c>
      <c r="Q380" s="147">
        <f t="shared" si="593"/>
        <v>0</v>
      </c>
      <c r="R380" s="147">
        <f t="shared" si="594"/>
        <v>0</v>
      </c>
      <c r="S380" s="147">
        <f t="shared" si="595"/>
        <v>0</v>
      </c>
      <c r="T380" s="200" t="str">
        <f t="shared" ref="T380" si="612">IF(J380="","",VLOOKUP(J380,Kengetal,13,FALSE))</f>
        <v>S</v>
      </c>
      <c r="U380" s="214">
        <v>1</v>
      </c>
      <c r="V380" s="214">
        <v>1</v>
      </c>
      <c r="W380" s="214">
        <v>1</v>
      </c>
      <c r="X380" s="214">
        <v>1</v>
      </c>
      <c r="Y380" s="142"/>
      <c r="Z380" s="149">
        <f t="shared" ref="Z380:Z448" si="613">I380*K380</f>
        <v>265.2</v>
      </c>
      <c r="AA380" s="150">
        <f t="shared" ref="AA380:AA448" si="614">L380+M380+N380+O380</f>
        <v>3.3363200000000002</v>
      </c>
      <c r="AE380" s="582">
        <f t="shared" ref="AE380:AE448" si="615">SUMIF(H380,"Linoleum",I380)</f>
        <v>0</v>
      </c>
      <c r="AF380" s="582">
        <f t="shared" ref="AF380:AF448" si="616">SUMIF(H380,"Tapijt",I380)</f>
        <v>0</v>
      </c>
    </row>
    <row r="381" spans="2:32" ht="18" customHeight="1">
      <c r="B381" s="142" t="s">
        <v>524</v>
      </c>
      <c r="C381" s="221" t="s">
        <v>188</v>
      </c>
      <c r="D381" s="222">
        <v>0</v>
      </c>
      <c r="E381" s="51" t="s">
        <v>508</v>
      </c>
      <c r="F381" s="51" t="s">
        <v>509</v>
      </c>
      <c r="G381" s="63" t="s">
        <v>271</v>
      </c>
      <c r="H381" s="51" t="s">
        <v>276</v>
      </c>
      <c r="I381" s="51">
        <v>73.14</v>
      </c>
      <c r="J381" s="213">
        <v>18255</v>
      </c>
      <c r="K381" s="146">
        <f t="shared" ref="K381:K449" si="617">SUM(IF(J381="",0,VLOOKUP(J381,Kengetal,2)))</f>
        <v>255</v>
      </c>
      <c r="L381" s="147">
        <f t="shared" ref="L381:L449" si="618">P381*I381*U381</f>
        <v>41.98236</v>
      </c>
      <c r="M381" s="147">
        <f t="shared" ref="M381:M449" si="619">Q381*I381*V381</f>
        <v>0</v>
      </c>
      <c r="N381" s="147">
        <f t="shared" ref="N381:N449" si="620">R381*I381*W381</f>
        <v>0</v>
      </c>
      <c r="O381" s="147">
        <f t="shared" ref="O381:O449" si="621">S381*I381*X381</f>
        <v>0</v>
      </c>
      <c r="P381" s="148">
        <f t="shared" si="592"/>
        <v>0.57399999999999995</v>
      </c>
      <c r="Q381" s="147">
        <f t="shared" si="593"/>
        <v>0</v>
      </c>
      <c r="R381" s="147">
        <f t="shared" si="594"/>
        <v>0</v>
      </c>
      <c r="S381" s="147">
        <f t="shared" si="595"/>
        <v>0</v>
      </c>
      <c r="T381" s="200" t="str">
        <f t="shared" ref="T381:T449" si="622">IF(J381="","",VLOOKUP(J381,Kengetal,13,FALSE))</f>
        <v>V</v>
      </c>
      <c r="U381" s="214">
        <v>1</v>
      </c>
      <c r="V381" s="214">
        <v>1</v>
      </c>
      <c r="W381" s="214">
        <v>1</v>
      </c>
      <c r="X381" s="214">
        <v>1</v>
      </c>
      <c r="Y381" s="142"/>
      <c r="Z381" s="149">
        <f t="shared" si="613"/>
        <v>18650.7</v>
      </c>
      <c r="AA381" s="150">
        <f t="shared" si="614"/>
        <v>41.98236</v>
      </c>
      <c r="AE381" s="582">
        <f t="shared" si="615"/>
        <v>0</v>
      </c>
      <c r="AF381" s="582">
        <f t="shared" si="616"/>
        <v>0</v>
      </c>
    </row>
    <row r="382" spans="2:32" ht="18" customHeight="1">
      <c r="B382" s="142" t="s">
        <v>524</v>
      </c>
      <c r="C382" s="221" t="s">
        <v>188</v>
      </c>
      <c r="D382" s="222">
        <v>0</v>
      </c>
      <c r="E382" s="51" t="s">
        <v>510</v>
      </c>
      <c r="F382" s="51" t="s">
        <v>353</v>
      </c>
      <c r="G382" s="63" t="s">
        <v>271</v>
      </c>
      <c r="H382" s="51" t="s">
        <v>525</v>
      </c>
      <c r="I382" s="51">
        <v>22.63</v>
      </c>
      <c r="J382" s="213">
        <v>3255</v>
      </c>
      <c r="K382" s="146">
        <f t="shared" si="617"/>
        <v>255</v>
      </c>
      <c r="L382" s="147">
        <f t="shared" si="618"/>
        <v>8.4636199999999988</v>
      </c>
      <c r="M382" s="147">
        <f t="shared" si="619"/>
        <v>0</v>
      </c>
      <c r="N382" s="147">
        <f t="shared" si="620"/>
        <v>0</v>
      </c>
      <c r="O382" s="147">
        <f t="shared" si="621"/>
        <v>0</v>
      </c>
      <c r="P382" s="148">
        <f t="shared" si="592"/>
        <v>0.374</v>
      </c>
      <c r="Q382" s="147">
        <f t="shared" si="593"/>
        <v>0</v>
      </c>
      <c r="R382" s="147">
        <f t="shared" si="594"/>
        <v>0</v>
      </c>
      <c r="S382" s="147">
        <f t="shared" si="595"/>
        <v>0</v>
      </c>
      <c r="T382" s="200" t="str">
        <f t="shared" si="622"/>
        <v>V</v>
      </c>
      <c r="U382" s="214">
        <v>1</v>
      </c>
      <c r="V382" s="214">
        <v>1</v>
      </c>
      <c r="W382" s="214">
        <v>1</v>
      </c>
      <c r="X382" s="214">
        <v>1</v>
      </c>
      <c r="Y382" s="142"/>
      <c r="Z382" s="149">
        <f t="shared" si="613"/>
        <v>5770.65</v>
      </c>
      <c r="AA382" s="150">
        <f t="shared" si="614"/>
        <v>8.4636199999999988</v>
      </c>
      <c r="AE382" s="582">
        <f t="shared" si="615"/>
        <v>0</v>
      </c>
      <c r="AF382" s="582">
        <f t="shared" si="616"/>
        <v>0</v>
      </c>
    </row>
    <row r="383" spans="2:32" ht="18" customHeight="1">
      <c r="B383" s="142" t="s">
        <v>524</v>
      </c>
      <c r="C383" s="221" t="s">
        <v>188</v>
      </c>
      <c r="D383" s="222">
        <v>0</v>
      </c>
      <c r="E383" s="51" t="s">
        <v>511</v>
      </c>
      <c r="F383" s="51" t="s">
        <v>451</v>
      </c>
      <c r="G383" s="63" t="s">
        <v>266</v>
      </c>
      <c r="H383" s="51" t="s">
        <v>267</v>
      </c>
      <c r="I383" s="51">
        <v>1.5</v>
      </c>
      <c r="J383" s="213">
        <v>2255</v>
      </c>
      <c r="K383" s="146">
        <f t="shared" si="617"/>
        <v>255</v>
      </c>
      <c r="L383" s="147">
        <f t="shared" si="618"/>
        <v>4.8120000000000003</v>
      </c>
      <c r="M383" s="147">
        <f t="shared" si="619"/>
        <v>0</v>
      </c>
      <c r="N383" s="147">
        <f t="shared" si="620"/>
        <v>0</v>
      </c>
      <c r="O383" s="147">
        <f t="shared" si="621"/>
        <v>0</v>
      </c>
      <c r="P383" s="148">
        <f t="shared" si="592"/>
        <v>3.2080000000000002</v>
      </c>
      <c r="Q383" s="147">
        <f t="shared" si="593"/>
        <v>0</v>
      </c>
      <c r="R383" s="147">
        <f t="shared" si="594"/>
        <v>0</v>
      </c>
      <c r="S383" s="147">
        <f t="shared" si="595"/>
        <v>0</v>
      </c>
      <c r="T383" s="200" t="str">
        <f t="shared" si="622"/>
        <v>S</v>
      </c>
      <c r="U383" s="214">
        <v>1</v>
      </c>
      <c r="V383" s="214">
        <v>1</v>
      </c>
      <c r="W383" s="214">
        <v>1</v>
      </c>
      <c r="X383" s="214">
        <v>1</v>
      </c>
      <c r="Y383" s="142"/>
      <c r="Z383" s="149">
        <f t="shared" si="613"/>
        <v>382.5</v>
      </c>
      <c r="AA383" s="150">
        <f t="shared" si="614"/>
        <v>4.8120000000000003</v>
      </c>
      <c r="AE383" s="582">
        <f t="shared" si="615"/>
        <v>0</v>
      </c>
      <c r="AF383" s="582">
        <f t="shared" si="616"/>
        <v>0</v>
      </c>
    </row>
    <row r="384" spans="2:32" ht="18" customHeight="1">
      <c r="B384" s="142" t="s">
        <v>524</v>
      </c>
      <c r="C384" s="221" t="s">
        <v>188</v>
      </c>
      <c r="D384" s="222">
        <v>0</v>
      </c>
      <c r="E384" s="51" t="s">
        <v>512</v>
      </c>
      <c r="F384" s="51" t="s">
        <v>265</v>
      </c>
      <c r="G384" s="63" t="s">
        <v>266</v>
      </c>
      <c r="H384" s="51" t="s">
        <v>267</v>
      </c>
      <c r="I384" s="51">
        <v>8.1</v>
      </c>
      <c r="J384" s="213">
        <v>2255</v>
      </c>
      <c r="K384" s="146">
        <f t="shared" si="617"/>
        <v>255</v>
      </c>
      <c r="L384" s="147">
        <f t="shared" si="618"/>
        <v>25.9848</v>
      </c>
      <c r="M384" s="147">
        <f t="shared" si="619"/>
        <v>0</v>
      </c>
      <c r="N384" s="147">
        <f t="shared" si="620"/>
        <v>0</v>
      </c>
      <c r="O384" s="147">
        <f t="shared" si="621"/>
        <v>0</v>
      </c>
      <c r="P384" s="148">
        <f t="shared" si="592"/>
        <v>3.2080000000000002</v>
      </c>
      <c r="Q384" s="147">
        <f t="shared" si="593"/>
        <v>0</v>
      </c>
      <c r="R384" s="147">
        <f t="shared" si="594"/>
        <v>0</v>
      </c>
      <c r="S384" s="147">
        <f t="shared" si="595"/>
        <v>0</v>
      </c>
      <c r="T384" s="200" t="str">
        <f t="shared" si="622"/>
        <v>S</v>
      </c>
      <c r="U384" s="214">
        <v>1</v>
      </c>
      <c r="V384" s="214">
        <v>1</v>
      </c>
      <c r="W384" s="214">
        <v>1</v>
      </c>
      <c r="X384" s="214">
        <v>1</v>
      </c>
      <c r="Y384" s="142"/>
      <c r="Z384" s="149">
        <f t="shared" si="613"/>
        <v>2065.5</v>
      </c>
      <c r="AA384" s="150">
        <f t="shared" si="614"/>
        <v>25.9848</v>
      </c>
      <c r="AE384" s="582">
        <f t="shared" si="615"/>
        <v>0</v>
      </c>
      <c r="AF384" s="582">
        <f t="shared" si="616"/>
        <v>0</v>
      </c>
    </row>
    <row r="385" spans="2:32" ht="18" customHeight="1">
      <c r="B385" s="142" t="s">
        <v>524</v>
      </c>
      <c r="C385" s="221" t="s">
        <v>188</v>
      </c>
      <c r="D385" s="222">
        <v>0</v>
      </c>
      <c r="E385" s="51" t="s">
        <v>513</v>
      </c>
      <c r="F385" s="51" t="s">
        <v>265</v>
      </c>
      <c r="G385" s="63" t="s">
        <v>266</v>
      </c>
      <c r="H385" s="51" t="s">
        <v>267</v>
      </c>
      <c r="I385" s="51">
        <v>4.1900000000000004</v>
      </c>
      <c r="J385" s="213">
        <v>2255</v>
      </c>
      <c r="K385" s="146">
        <f t="shared" si="617"/>
        <v>255</v>
      </c>
      <c r="L385" s="147">
        <f t="shared" si="618"/>
        <v>13.441520000000002</v>
      </c>
      <c r="M385" s="147">
        <f t="shared" si="619"/>
        <v>0</v>
      </c>
      <c r="N385" s="147">
        <f t="shared" si="620"/>
        <v>0</v>
      </c>
      <c r="O385" s="147">
        <f t="shared" si="621"/>
        <v>0</v>
      </c>
      <c r="P385" s="148">
        <f t="shared" si="592"/>
        <v>3.2080000000000002</v>
      </c>
      <c r="Q385" s="147">
        <f t="shared" si="593"/>
        <v>0</v>
      </c>
      <c r="R385" s="147">
        <f t="shared" si="594"/>
        <v>0</v>
      </c>
      <c r="S385" s="147">
        <f t="shared" si="595"/>
        <v>0</v>
      </c>
      <c r="T385" s="200" t="str">
        <f t="shared" si="622"/>
        <v>S</v>
      </c>
      <c r="U385" s="214">
        <v>1</v>
      </c>
      <c r="V385" s="214">
        <v>1</v>
      </c>
      <c r="W385" s="214">
        <v>1</v>
      </c>
      <c r="X385" s="214">
        <v>1</v>
      </c>
      <c r="Y385" s="142"/>
      <c r="Z385" s="149">
        <f t="shared" si="613"/>
        <v>1068.45</v>
      </c>
      <c r="AA385" s="150">
        <f t="shared" si="614"/>
        <v>13.441520000000002</v>
      </c>
      <c r="AE385" s="582">
        <f t="shared" si="615"/>
        <v>0</v>
      </c>
      <c r="AF385" s="582">
        <f t="shared" si="616"/>
        <v>0</v>
      </c>
    </row>
    <row r="386" spans="2:32" ht="18" customHeight="1">
      <c r="B386" s="142" t="s">
        <v>524</v>
      </c>
      <c r="C386" s="221" t="s">
        <v>188</v>
      </c>
      <c r="D386" s="143">
        <v>1</v>
      </c>
      <c r="E386" s="51">
        <v>101</v>
      </c>
      <c r="F386" s="51" t="s">
        <v>353</v>
      </c>
      <c r="G386" s="63" t="s">
        <v>271</v>
      </c>
      <c r="H386" s="51" t="s">
        <v>525</v>
      </c>
      <c r="I386" s="51">
        <v>8.5</v>
      </c>
      <c r="J386" s="213">
        <v>3255</v>
      </c>
      <c r="K386" s="146">
        <f t="shared" si="617"/>
        <v>255</v>
      </c>
      <c r="L386" s="147">
        <f t="shared" si="618"/>
        <v>3.1789999999999998</v>
      </c>
      <c r="M386" s="147">
        <f t="shared" si="619"/>
        <v>0</v>
      </c>
      <c r="N386" s="147">
        <f t="shared" si="620"/>
        <v>0</v>
      </c>
      <c r="O386" s="147">
        <f t="shared" si="621"/>
        <v>0</v>
      </c>
      <c r="P386" s="148">
        <f t="shared" si="592"/>
        <v>0.374</v>
      </c>
      <c r="Q386" s="147">
        <f t="shared" si="593"/>
        <v>0</v>
      </c>
      <c r="R386" s="147">
        <f t="shared" si="594"/>
        <v>0</v>
      </c>
      <c r="S386" s="147">
        <f t="shared" si="595"/>
        <v>0</v>
      </c>
      <c r="T386" s="200" t="str">
        <f t="shared" si="622"/>
        <v>V</v>
      </c>
      <c r="U386" s="214">
        <v>1</v>
      </c>
      <c r="V386" s="214">
        <v>1</v>
      </c>
      <c r="W386" s="214">
        <v>1</v>
      </c>
      <c r="X386" s="214">
        <v>1</v>
      </c>
      <c r="Y386" s="142"/>
      <c r="Z386" s="149">
        <f t="shared" si="613"/>
        <v>2167.5</v>
      </c>
      <c r="AA386" s="150">
        <f t="shared" si="614"/>
        <v>3.1789999999999998</v>
      </c>
      <c r="AE386" s="582">
        <f t="shared" si="615"/>
        <v>0</v>
      </c>
      <c r="AF386" s="582">
        <f t="shared" si="616"/>
        <v>0</v>
      </c>
    </row>
    <row r="387" spans="2:32" ht="18" customHeight="1">
      <c r="B387" s="142" t="s">
        <v>524</v>
      </c>
      <c r="C387" s="221" t="s">
        <v>188</v>
      </c>
      <c r="D387" s="143">
        <v>1</v>
      </c>
      <c r="E387" s="51">
        <v>102</v>
      </c>
      <c r="F387" s="51" t="s">
        <v>265</v>
      </c>
      <c r="G387" s="63" t="s">
        <v>266</v>
      </c>
      <c r="H387" s="51" t="s">
        <v>267</v>
      </c>
      <c r="I387" s="51">
        <v>1.03</v>
      </c>
      <c r="J387" s="213">
        <v>2255</v>
      </c>
      <c r="K387" s="146">
        <f t="shared" si="617"/>
        <v>255</v>
      </c>
      <c r="L387" s="147">
        <f t="shared" si="618"/>
        <v>3.3042400000000001</v>
      </c>
      <c r="M387" s="147">
        <f t="shared" si="619"/>
        <v>0</v>
      </c>
      <c r="N387" s="147">
        <f t="shared" si="620"/>
        <v>0</v>
      </c>
      <c r="O387" s="147">
        <f t="shared" si="621"/>
        <v>0</v>
      </c>
      <c r="P387" s="148">
        <f t="shared" si="592"/>
        <v>3.2080000000000002</v>
      </c>
      <c r="Q387" s="147">
        <f t="shared" si="593"/>
        <v>0</v>
      </c>
      <c r="R387" s="147">
        <f t="shared" si="594"/>
        <v>0</v>
      </c>
      <c r="S387" s="147">
        <f t="shared" si="595"/>
        <v>0</v>
      </c>
      <c r="T387" s="200" t="str">
        <f t="shared" si="622"/>
        <v>S</v>
      </c>
      <c r="U387" s="214">
        <v>1</v>
      </c>
      <c r="V387" s="214">
        <v>1</v>
      </c>
      <c r="W387" s="214">
        <v>1</v>
      </c>
      <c r="X387" s="214">
        <v>1</v>
      </c>
      <c r="Y387" s="142"/>
      <c r="Z387" s="149">
        <f t="shared" si="613"/>
        <v>262.65000000000003</v>
      </c>
      <c r="AA387" s="150">
        <f t="shared" si="614"/>
        <v>3.3042400000000001</v>
      </c>
      <c r="AE387" s="582">
        <f t="shared" si="615"/>
        <v>0</v>
      </c>
      <c r="AF387" s="582">
        <f t="shared" si="616"/>
        <v>0</v>
      </c>
    </row>
    <row r="388" spans="2:32" ht="18" customHeight="1">
      <c r="B388" s="142" t="s">
        <v>524</v>
      </c>
      <c r="C388" s="221" t="s">
        <v>188</v>
      </c>
      <c r="D388" s="143">
        <v>1</v>
      </c>
      <c r="E388" s="51">
        <v>103</v>
      </c>
      <c r="F388" s="51" t="s">
        <v>521</v>
      </c>
      <c r="G388" s="63" t="s">
        <v>271</v>
      </c>
      <c r="H388" s="51" t="s">
        <v>525</v>
      </c>
      <c r="I388" s="51">
        <v>23.5</v>
      </c>
      <c r="J388" s="213">
        <v>3255</v>
      </c>
      <c r="K388" s="146">
        <f t="shared" si="617"/>
        <v>255</v>
      </c>
      <c r="L388" s="147">
        <f t="shared" si="618"/>
        <v>8.7889999999999997</v>
      </c>
      <c r="M388" s="147">
        <f t="shared" si="619"/>
        <v>0</v>
      </c>
      <c r="N388" s="147">
        <f t="shared" si="620"/>
        <v>0</v>
      </c>
      <c r="O388" s="147">
        <f t="shared" si="621"/>
        <v>0</v>
      </c>
      <c r="P388" s="148">
        <f t="shared" si="592"/>
        <v>0.374</v>
      </c>
      <c r="Q388" s="147">
        <f t="shared" si="593"/>
        <v>0</v>
      </c>
      <c r="R388" s="147">
        <f t="shared" si="594"/>
        <v>0</v>
      </c>
      <c r="S388" s="147">
        <f t="shared" si="595"/>
        <v>0</v>
      </c>
      <c r="T388" s="200" t="str">
        <f t="shared" si="622"/>
        <v>V</v>
      </c>
      <c r="U388" s="214">
        <v>1</v>
      </c>
      <c r="V388" s="214">
        <v>1</v>
      </c>
      <c r="W388" s="214">
        <v>1</v>
      </c>
      <c r="X388" s="214">
        <v>1</v>
      </c>
      <c r="Y388" s="142"/>
      <c r="Z388" s="149">
        <f t="shared" si="613"/>
        <v>5992.5</v>
      </c>
      <c r="AA388" s="150">
        <f t="shared" si="614"/>
        <v>8.7889999999999997</v>
      </c>
      <c r="AE388" s="582">
        <f t="shared" si="615"/>
        <v>0</v>
      </c>
      <c r="AF388" s="582">
        <f t="shared" si="616"/>
        <v>0</v>
      </c>
    </row>
    <row r="389" spans="2:32" ht="18" customHeight="1">
      <c r="B389" s="142" t="s">
        <v>524</v>
      </c>
      <c r="C389" s="221" t="s">
        <v>188</v>
      </c>
      <c r="D389" s="143">
        <v>1</v>
      </c>
      <c r="E389" s="51">
        <v>104</v>
      </c>
      <c r="F389" s="51" t="s">
        <v>353</v>
      </c>
      <c r="G389" s="63" t="s">
        <v>271</v>
      </c>
      <c r="H389" s="51" t="s">
        <v>525</v>
      </c>
      <c r="I389" s="51">
        <v>26.6</v>
      </c>
      <c r="J389" s="213">
        <v>3255</v>
      </c>
      <c r="K389" s="146">
        <f t="shared" si="617"/>
        <v>255</v>
      </c>
      <c r="L389" s="147">
        <f t="shared" si="618"/>
        <v>9.9484000000000012</v>
      </c>
      <c r="M389" s="147">
        <f t="shared" si="619"/>
        <v>0</v>
      </c>
      <c r="N389" s="147">
        <f t="shared" si="620"/>
        <v>0</v>
      </c>
      <c r="O389" s="147">
        <f t="shared" si="621"/>
        <v>0</v>
      </c>
      <c r="P389" s="148">
        <f t="shared" si="592"/>
        <v>0.374</v>
      </c>
      <c r="Q389" s="147">
        <f t="shared" si="593"/>
        <v>0</v>
      </c>
      <c r="R389" s="147">
        <f t="shared" si="594"/>
        <v>0</v>
      </c>
      <c r="S389" s="147">
        <f t="shared" si="595"/>
        <v>0</v>
      </c>
      <c r="T389" s="200" t="str">
        <f t="shared" si="622"/>
        <v>V</v>
      </c>
      <c r="U389" s="214">
        <v>1</v>
      </c>
      <c r="V389" s="214">
        <v>1</v>
      </c>
      <c r="W389" s="214">
        <v>1</v>
      </c>
      <c r="X389" s="214">
        <v>1</v>
      </c>
      <c r="Y389" s="142"/>
      <c r="Z389" s="149">
        <f t="shared" si="613"/>
        <v>6783</v>
      </c>
      <c r="AA389" s="150">
        <f t="shared" si="614"/>
        <v>9.9484000000000012</v>
      </c>
      <c r="AE389" s="582">
        <f t="shared" si="615"/>
        <v>0</v>
      </c>
      <c r="AF389" s="582">
        <f t="shared" si="616"/>
        <v>0</v>
      </c>
    </row>
    <row r="390" spans="2:32" ht="18" customHeight="1">
      <c r="B390" s="142" t="s">
        <v>524</v>
      </c>
      <c r="C390" s="221" t="s">
        <v>188</v>
      </c>
      <c r="D390" s="143">
        <v>1</v>
      </c>
      <c r="E390" s="51">
        <v>105</v>
      </c>
      <c r="F390" s="51" t="s">
        <v>265</v>
      </c>
      <c r="G390" s="63" t="s">
        <v>266</v>
      </c>
      <c r="H390" s="51" t="s">
        <v>526</v>
      </c>
      <c r="I390" s="51">
        <v>4.5</v>
      </c>
      <c r="J390" s="213">
        <v>2255</v>
      </c>
      <c r="K390" s="146">
        <f t="shared" si="617"/>
        <v>255</v>
      </c>
      <c r="L390" s="147">
        <f t="shared" si="618"/>
        <v>14.436</v>
      </c>
      <c r="M390" s="147">
        <f t="shared" si="619"/>
        <v>0</v>
      </c>
      <c r="N390" s="147">
        <f t="shared" si="620"/>
        <v>0</v>
      </c>
      <c r="O390" s="147">
        <f t="shared" si="621"/>
        <v>0</v>
      </c>
      <c r="P390" s="148">
        <f t="shared" si="592"/>
        <v>3.2080000000000002</v>
      </c>
      <c r="Q390" s="147">
        <f t="shared" si="593"/>
        <v>0</v>
      </c>
      <c r="R390" s="147">
        <f t="shared" si="594"/>
        <v>0</v>
      </c>
      <c r="S390" s="147">
        <f t="shared" si="595"/>
        <v>0</v>
      </c>
      <c r="T390" s="200" t="str">
        <f t="shared" si="622"/>
        <v>S</v>
      </c>
      <c r="U390" s="214">
        <v>1</v>
      </c>
      <c r="V390" s="214">
        <v>1</v>
      </c>
      <c r="W390" s="214">
        <v>1</v>
      </c>
      <c r="X390" s="214">
        <v>1</v>
      </c>
      <c r="Y390" s="142"/>
      <c r="Z390" s="149">
        <f t="shared" si="613"/>
        <v>1147.5</v>
      </c>
      <c r="AA390" s="150">
        <f t="shared" si="614"/>
        <v>14.436</v>
      </c>
      <c r="AE390" s="582">
        <f t="shared" si="615"/>
        <v>0</v>
      </c>
      <c r="AF390" s="582">
        <f t="shared" si="616"/>
        <v>0</v>
      </c>
    </row>
    <row r="391" spans="2:32" ht="18" customHeight="1">
      <c r="B391" s="142" t="s">
        <v>524</v>
      </c>
      <c r="C391" s="221" t="s">
        <v>188</v>
      </c>
      <c r="D391" s="143">
        <v>1</v>
      </c>
      <c r="E391" s="51">
        <v>106</v>
      </c>
      <c r="F391" s="51" t="s">
        <v>265</v>
      </c>
      <c r="G391" s="63" t="s">
        <v>266</v>
      </c>
      <c r="H391" s="51" t="s">
        <v>526</v>
      </c>
      <c r="I391" s="51">
        <v>4.7</v>
      </c>
      <c r="J391" s="213">
        <v>2255</v>
      </c>
      <c r="K391" s="146">
        <f t="shared" si="617"/>
        <v>255</v>
      </c>
      <c r="L391" s="147">
        <f t="shared" si="618"/>
        <v>15.077600000000002</v>
      </c>
      <c r="M391" s="147">
        <f t="shared" si="619"/>
        <v>0</v>
      </c>
      <c r="N391" s="147">
        <f t="shared" si="620"/>
        <v>0</v>
      </c>
      <c r="O391" s="147">
        <f t="shared" si="621"/>
        <v>0</v>
      </c>
      <c r="P391" s="148">
        <f t="shared" si="592"/>
        <v>3.2080000000000002</v>
      </c>
      <c r="Q391" s="147">
        <f t="shared" si="593"/>
        <v>0</v>
      </c>
      <c r="R391" s="147">
        <f t="shared" si="594"/>
        <v>0</v>
      </c>
      <c r="S391" s="147">
        <f t="shared" si="595"/>
        <v>0</v>
      </c>
      <c r="T391" s="200" t="str">
        <f t="shared" si="622"/>
        <v>S</v>
      </c>
      <c r="U391" s="214">
        <v>1</v>
      </c>
      <c r="V391" s="214">
        <v>1</v>
      </c>
      <c r="W391" s="214">
        <v>1</v>
      </c>
      <c r="X391" s="214">
        <v>1</v>
      </c>
      <c r="Y391" s="142"/>
      <c r="Z391" s="149">
        <f t="shared" si="613"/>
        <v>1198.5</v>
      </c>
      <c r="AA391" s="150">
        <f t="shared" si="614"/>
        <v>15.077600000000002</v>
      </c>
      <c r="AE391" s="582">
        <f t="shared" si="615"/>
        <v>0</v>
      </c>
      <c r="AF391" s="582">
        <f t="shared" si="616"/>
        <v>0</v>
      </c>
    </row>
    <row r="392" spans="2:32" ht="18" customHeight="1">
      <c r="B392" s="142" t="s">
        <v>499</v>
      </c>
      <c r="C392" s="221" t="s">
        <v>190</v>
      </c>
      <c r="D392" s="222">
        <v>0</v>
      </c>
      <c r="E392" s="51" t="s">
        <v>500</v>
      </c>
      <c r="F392" s="51" t="s">
        <v>144</v>
      </c>
      <c r="G392" s="63" t="s">
        <v>271</v>
      </c>
      <c r="H392" s="51" t="s">
        <v>401</v>
      </c>
      <c r="I392" s="51">
        <v>57.8</v>
      </c>
      <c r="J392" s="213">
        <v>8255</v>
      </c>
      <c r="K392" s="146">
        <f t="shared" si="617"/>
        <v>255</v>
      </c>
      <c r="L392" s="147">
        <f t="shared" si="618"/>
        <v>115.6</v>
      </c>
      <c r="M392" s="147">
        <f t="shared" si="619"/>
        <v>0</v>
      </c>
      <c r="N392" s="147">
        <f t="shared" si="620"/>
        <v>0</v>
      </c>
      <c r="O392" s="147">
        <f t="shared" si="621"/>
        <v>0</v>
      </c>
      <c r="P392" s="148">
        <f t="shared" si="592"/>
        <v>2</v>
      </c>
      <c r="Q392" s="147">
        <f t="shared" si="593"/>
        <v>0</v>
      </c>
      <c r="R392" s="147">
        <f t="shared" si="594"/>
        <v>0</v>
      </c>
      <c r="S392" s="147">
        <f t="shared" si="595"/>
        <v>0</v>
      </c>
      <c r="T392" s="200" t="str">
        <f t="shared" si="622"/>
        <v>V</v>
      </c>
      <c r="U392" s="214">
        <v>1</v>
      </c>
      <c r="V392" s="214">
        <v>1</v>
      </c>
      <c r="W392" s="214">
        <v>1</v>
      </c>
      <c r="X392" s="214">
        <v>1</v>
      </c>
      <c r="Y392" s="142"/>
      <c r="Z392" s="149">
        <f t="shared" si="613"/>
        <v>14739</v>
      </c>
      <c r="AA392" s="150">
        <f t="shared" si="614"/>
        <v>115.6</v>
      </c>
      <c r="AE392" s="582">
        <f t="shared" si="615"/>
        <v>0</v>
      </c>
      <c r="AF392" s="582">
        <f t="shared" si="616"/>
        <v>0</v>
      </c>
    </row>
    <row r="393" spans="2:32" ht="18" customHeight="1">
      <c r="B393" s="142" t="s">
        <v>499</v>
      </c>
      <c r="C393" s="221" t="s">
        <v>190</v>
      </c>
      <c r="D393" s="222">
        <v>0</v>
      </c>
      <c r="E393" s="51" t="s">
        <v>503</v>
      </c>
      <c r="F393" s="51" t="s">
        <v>527</v>
      </c>
      <c r="G393" s="63" t="s">
        <v>271</v>
      </c>
      <c r="H393" s="51" t="s">
        <v>401</v>
      </c>
      <c r="I393" s="51">
        <v>6.4</v>
      </c>
      <c r="J393" s="213">
        <v>3255</v>
      </c>
      <c r="K393" s="146">
        <f t="shared" si="617"/>
        <v>255</v>
      </c>
      <c r="L393" s="147">
        <f t="shared" si="618"/>
        <v>2.3936000000000002</v>
      </c>
      <c r="M393" s="147">
        <f t="shared" si="619"/>
        <v>0</v>
      </c>
      <c r="N393" s="147">
        <f t="shared" si="620"/>
        <v>0</v>
      </c>
      <c r="O393" s="147">
        <f t="shared" si="621"/>
        <v>0</v>
      </c>
      <c r="P393" s="148">
        <f t="shared" si="592"/>
        <v>0.374</v>
      </c>
      <c r="Q393" s="147">
        <f t="shared" si="593"/>
        <v>0</v>
      </c>
      <c r="R393" s="147">
        <f t="shared" si="594"/>
        <v>0</v>
      </c>
      <c r="S393" s="147">
        <f t="shared" si="595"/>
        <v>0</v>
      </c>
      <c r="T393" s="200" t="str">
        <f t="shared" si="622"/>
        <v>V</v>
      </c>
      <c r="U393" s="214">
        <v>1</v>
      </c>
      <c r="V393" s="214">
        <v>1</v>
      </c>
      <c r="W393" s="214">
        <v>1</v>
      </c>
      <c r="X393" s="214">
        <v>1</v>
      </c>
      <c r="Y393" s="142"/>
      <c r="Z393" s="149">
        <f t="shared" si="613"/>
        <v>1632</v>
      </c>
      <c r="AA393" s="150">
        <f t="shared" si="614"/>
        <v>2.3936000000000002</v>
      </c>
      <c r="AE393" s="582">
        <f t="shared" si="615"/>
        <v>0</v>
      </c>
      <c r="AF393" s="582">
        <f t="shared" si="616"/>
        <v>0</v>
      </c>
    </row>
    <row r="394" spans="2:32" ht="18" customHeight="1">
      <c r="B394" s="142" t="s">
        <v>499</v>
      </c>
      <c r="C394" s="221" t="s">
        <v>190</v>
      </c>
      <c r="D394" s="222">
        <v>0</v>
      </c>
      <c r="E394" s="51" t="s">
        <v>504</v>
      </c>
      <c r="F394" s="51" t="s">
        <v>265</v>
      </c>
      <c r="G394" s="63" t="s">
        <v>266</v>
      </c>
      <c r="H394" s="51" t="s">
        <v>378</v>
      </c>
      <c r="I394" s="51">
        <v>1.26</v>
      </c>
      <c r="J394" s="213">
        <v>2255</v>
      </c>
      <c r="K394" s="146">
        <f t="shared" si="617"/>
        <v>255</v>
      </c>
      <c r="L394" s="147">
        <f t="shared" si="618"/>
        <v>4.0420800000000003</v>
      </c>
      <c r="M394" s="147">
        <f t="shared" si="619"/>
        <v>0</v>
      </c>
      <c r="N394" s="147">
        <f t="shared" si="620"/>
        <v>0</v>
      </c>
      <c r="O394" s="147">
        <f t="shared" si="621"/>
        <v>0</v>
      </c>
      <c r="P394" s="148">
        <f t="shared" si="592"/>
        <v>3.2080000000000002</v>
      </c>
      <c r="Q394" s="147">
        <f t="shared" si="593"/>
        <v>0</v>
      </c>
      <c r="R394" s="147">
        <f t="shared" si="594"/>
        <v>0</v>
      </c>
      <c r="S394" s="147">
        <f t="shared" si="595"/>
        <v>0</v>
      </c>
      <c r="T394" s="200" t="str">
        <f t="shared" si="622"/>
        <v>S</v>
      </c>
      <c r="U394" s="214">
        <v>1</v>
      </c>
      <c r="V394" s="214">
        <v>1</v>
      </c>
      <c r="W394" s="214">
        <v>1</v>
      </c>
      <c r="X394" s="214">
        <v>1</v>
      </c>
      <c r="Y394" s="142"/>
      <c r="Z394" s="149">
        <f t="shared" si="613"/>
        <v>321.3</v>
      </c>
      <c r="AA394" s="150">
        <f t="shared" si="614"/>
        <v>4.0420800000000003</v>
      </c>
      <c r="AE394" s="582">
        <f t="shared" si="615"/>
        <v>0</v>
      </c>
      <c r="AF394" s="582">
        <f t="shared" si="616"/>
        <v>0</v>
      </c>
    </row>
    <row r="395" spans="2:32" ht="18" customHeight="1">
      <c r="B395" s="142" t="s">
        <v>499</v>
      </c>
      <c r="C395" s="221" t="s">
        <v>190</v>
      </c>
      <c r="D395" s="222">
        <v>0</v>
      </c>
      <c r="E395" s="51" t="s">
        <v>505</v>
      </c>
      <c r="F395" s="51" t="s">
        <v>528</v>
      </c>
      <c r="G395" s="63" t="s">
        <v>266</v>
      </c>
      <c r="H395" s="51" t="s">
        <v>378</v>
      </c>
      <c r="I395" s="51">
        <v>4.4000000000000004</v>
      </c>
      <c r="J395" s="213">
        <v>2255</v>
      </c>
      <c r="K395" s="146">
        <f t="shared" si="617"/>
        <v>255</v>
      </c>
      <c r="L395" s="147">
        <f t="shared" si="618"/>
        <v>14.115200000000002</v>
      </c>
      <c r="M395" s="147">
        <f t="shared" si="619"/>
        <v>0</v>
      </c>
      <c r="N395" s="147">
        <f t="shared" si="620"/>
        <v>0</v>
      </c>
      <c r="O395" s="147">
        <f t="shared" si="621"/>
        <v>0</v>
      </c>
      <c r="P395" s="148">
        <f t="shared" si="592"/>
        <v>3.2080000000000002</v>
      </c>
      <c r="Q395" s="147">
        <f t="shared" si="593"/>
        <v>0</v>
      </c>
      <c r="R395" s="147">
        <f t="shared" si="594"/>
        <v>0</v>
      </c>
      <c r="S395" s="147">
        <f t="shared" si="595"/>
        <v>0</v>
      </c>
      <c r="T395" s="200" t="str">
        <f t="shared" si="622"/>
        <v>S</v>
      </c>
      <c r="U395" s="214">
        <v>1</v>
      </c>
      <c r="V395" s="214">
        <v>1</v>
      </c>
      <c r="W395" s="214">
        <v>1</v>
      </c>
      <c r="X395" s="214">
        <v>1</v>
      </c>
      <c r="Y395" s="142"/>
      <c r="Z395" s="149">
        <f t="shared" si="613"/>
        <v>1122</v>
      </c>
      <c r="AA395" s="150">
        <f t="shared" si="614"/>
        <v>14.115200000000002</v>
      </c>
      <c r="AE395" s="582">
        <f t="shared" si="615"/>
        <v>0</v>
      </c>
      <c r="AF395" s="582">
        <f t="shared" si="616"/>
        <v>0</v>
      </c>
    </row>
    <row r="396" spans="2:32" ht="18" customHeight="1">
      <c r="B396" s="142" t="s">
        <v>499</v>
      </c>
      <c r="C396" s="221" t="s">
        <v>190</v>
      </c>
      <c r="D396" s="222">
        <v>0</v>
      </c>
      <c r="E396" s="51" t="s">
        <v>506</v>
      </c>
      <c r="F396" s="51" t="s">
        <v>262</v>
      </c>
      <c r="G396" s="63" t="s">
        <v>263</v>
      </c>
      <c r="H396" s="51" t="s">
        <v>401</v>
      </c>
      <c r="I396" s="51">
        <v>26</v>
      </c>
      <c r="J396" s="213">
        <v>1255</v>
      </c>
      <c r="K396" s="146">
        <f t="shared" si="617"/>
        <v>255</v>
      </c>
      <c r="L396" s="147">
        <f t="shared" si="618"/>
        <v>14.040000000000001</v>
      </c>
      <c r="M396" s="147">
        <f t="shared" si="619"/>
        <v>0</v>
      </c>
      <c r="N396" s="147">
        <f t="shared" si="620"/>
        <v>0</v>
      </c>
      <c r="O396" s="147">
        <f t="shared" si="621"/>
        <v>0</v>
      </c>
      <c r="P396" s="148">
        <f t="shared" si="592"/>
        <v>0.54</v>
      </c>
      <c r="Q396" s="147">
        <f t="shared" si="593"/>
        <v>0</v>
      </c>
      <c r="R396" s="147">
        <f t="shared" si="594"/>
        <v>0</v>
      </c>
      <c r="S396" s="147">
        <f t="shared" si="595"/>
        <v>0</v>
      </c>
      <c r="T396" s="200" t="str">
        <f t="shared" si="622"/>
        <v>B</v>
      </c>
      <c r="U396" s="214">
        <v>1</v>
      </c>
      <c r="V396" s="214">
        <v>1</v>
      </c>
      <c r="W396" s="214">
        <v>1</v>
      </c>
      <c r="X396" s="214">
        <v>1</v>
      </c>
      <c r="Y396" s="142"/>
      <c r="Z396" s="149">
        <f t="shared" si="613"/>
        <v>6630</v>
      </c>
      <c r="AA396" s="150">
        <f t="shared" si="614"/>
        <v>14.040000000000001</v>
      </c>
      <c r="AE396" s="582">
        <f t="shared" si="615"/>
        <v>0</v>
      </c>
      <c r="AF396" s="582">
        <f t="shared" si="616"/>
        <v>0</v>
      </c>
    </row>
    <row r="397" spans="2:32" ht="18" customHeight="1">
      <c r="B397" s="142" t="s">
        <v>499</v>
      </c>
      <c r="C397" s="221" t="s">
        <v>190</v>
      </c>
      <c r="D397" s="222">
        <v>0</v>
      </c>
      <c r="E397" s="51" t="s">
        <v>507</v>
      </c>
      <c r="F397" s="51" t="s">
        <v>501</v>
      </c>
      <c r="G397" s="63" t="s">
        <v>271</v>
      </c>
      <c r="H397" s="51" t="s">
        <v>452</v>
      </c>
      <c r="I397" s="51">
        <v>2.4</v>
      </c>
      <c r="J397" s="213">
        <v>5255</v>
      </c>
      <c r="K397" s="146">
        <f t="shared" si="617"/>
        <v>255</v>
      </c>
      <c r="L397" s="147">
        <f t="shared" si="618"/>
        <v>1.8792</v>
      </c>
      <c r="M397" s="147">
        <f t="shared" si="619"/>
        <v>0</v>
      </c>
      <c r="N397" s="147">
        <f t="shared" si="620"/>
        <v>0</v>
      </c>
      <c r="O397" s="147">
        <f t="shared" si="621"/>
        <v>0</v>
      </c>
      <c r="P397" s="148">
        <f t="shared" si="592"/>
        <v>0.78300000000000003</v>
      </c>
      <c r="Q397" s="147">
        <f t="shared" si="593"/>
        <v>0</v>
      </c>
      <c r="R397" s="147">
        <f t="shared" si="594"/>
        <v>0</v>
      </c>
      <c r="S397" s="147">
        <f t="shared" si="595"/>
        <v>0</v>
      </c>
      <c r="T397" s="200" t="str">
        <f t="shared" si="622"/>
        <v>V</v>
      </c>
      <c r="U397" s="214">
        <v>1</v>
      </c>
      <c r="V397" s="214">
        <v>1</v>
      </c>
      <c r="W397" s="214">
        <v>1</v>
      </c>
      <c r="X397" s="214">
        <v>1</v>
      </c>
      <c r="Y397" s="142"/>
      <c r="Z397" s="149">
        <f t="shared" si="613"/>
        <v>612</v>
      </c>
      <c r="AA397" s="150">
        <f t="shared" si="614"/>
        <v>1.8792</v>
      </c>
      <c r="AE397" s="582">
        <f t="shared" si="615"/>
        <v>0</v>
      </c>
      <c r="AF397" s="582">
        <f t="shared" si="616"/>
        <v>2.4</v>
      </c>
    </row>
    <row r="398" spans="2:32" ht="18" customHeight="1">
      <c r="B398" s="142" t="s">
        <v>499</v>
      </c>
      <c r="C398" s="221" t="s">
        <v>190</v>
      </c>
      <c r="D398" s="222">
        <v>0</v>
      </c>
      <c r="E398" s="51" t="s">
        <v>508</v>
      </c>
      <c r="F398" s="51" t="s">
        <v>265</v>
      </c>
      <c r="G398" s="63" t="s">
        <v>266</v>
      </c>
      <c r="H398" s="51" t="s">
        <v>378</v>
      </c>
      <c r="I398" s="51">
        <v>5</v>
      </c>
      <c r="J398" s="213">
        <v>2255</v>
      </c>
      <c r="K398" s="146">
        <f t="shared" si="617"/>
        <v>255</v>
      </c>
      <c r="L398" s="147">
        <f t="shared" si="618"/>
        <v>16.04</v>
      </c>
      <c r="M398" s="147">
        <f t="shared" si="619"/>
        <v>0</v>
      </c>
      <c r="N398" s="147">
        <f t="shared" si="620"/>
        <v>0</v>
      </c>
      <c r="O398" s="147">
        <f t="shared" si="621"/>
        <v>0</v>
      </c>
      <c r="P398" s="148">
        <f t="shared" si="592"/>
        <v>3.2080000000000002</v>
      </c>
      <c r="Q398" s="147">
        <f t="shared" si="593"/>
        <v>0</v>
      </c>
      <c r="R398" s="147">
        <f t="shared" si="594"/>
        <v>0</v>
      </c>
      <c r="S398" s="147">
        <f t="shared" si="595"/>
        <v>0</v>
      </c>
      <c r="T398" s="200" t="str">
        <f t="shared" si="622"/>
        <v>S</v>
      </c>
      <c r="U398" s="214">
        <v>1</v>
      </c>
      <c r="V398" s="214">
        <v>1</v>
      </c>
      <c r="W398" s="214">
        <v>1</v>
      </c>
      <c r="X398" s="214">
        <v>1</v>
      </c>
      <c r="Y398" s="142"/>
      <c r="Z398" s="149">
        <f t="shared" si="613"/>
        <v>1275</v>
      </c>
      <c r="AA398" s="150">
        <f t="shared" si="614"/>
        <v>16.04</v>
      </c>
      <c r="AE398" s="582">
        <f t="shared" si="615"/>
        <v>0</v>
      </c>
      <c r="AF398" s="582">
        <f t="shared" si="616"/>
        <v>0</v>
      </c>
    </row>
    <row r="399" spans="2:32" ht="18" customHeight="1">
      <c r="B399" s="142" t="s">
        <v>499</v>
      </c>
      <c r="C399" s="221" t="s">
        <v>190</v>
      </c>
      <c r="D399" s="222">
        <v>0</v>
      </c>
      <c r="E399" s="51" t="s">
        <v>510</v>
      </c>
      <c r="F399" s="51" t="s">
        <v>527</v>
      </c>
      <c r="G399" s="63" t="s">
        <v>271</v>
      </c>
      <c r="H399" s="51" t="s">
        <v>401</v>
      </c>
      <c r="I399" s="51">
        <v>3.5</v>
      </c>
      <c r="J399" s="213">
        <v>3255</v>
      </c>
      <c r="K399" s="146">
        <f t="shared" si="617"/>
        <v>255</v>
      </c>
      <c r="L399" s="147">
        <f t="shared" si="618"/>
        <v>1.3089999999999999</v>
      </c>
      <c r="M399" s="147">
        <f t="shared" si="619"/>
        <v>0</v>
      </c>
      <c r="N399" s="147">
        <f t="shared" si="620"/>
        <v>0</v>
      </c>
      <c r="O399" s="147">
        <f t="shared" si="621"/>
        <v>0</v>
      </c>
      <c r="P399" s="148">
        <f t="shared" si="592"/>
        <v>0.374</v>
      </c>
      <c r="Q399" s="147">
        <f t="shared" si="593"/>
        <v>0</v>
      </c>
      <c r="R399" s="147">
        <f t="shared" si="594"/>
        <v>0</v>
      </c>
      <c r="S399" s="147">
        <f t="shared" si="595"/>
        <v>0</v>
      </c>
      <c r="T399" s="200" t="str">
        <f t="shared" si="622"/>
        <v>V</v>
      </c>
      <c r="U399" s="214">
        <v>1</v>
      </c>
      <c r="V399" s="214">
        <v>1</v>
      </c>
      <c r="W399" s="214">
        <v>1</v>
      </c>
      <c r="X399" s="214">
        <v>1</v>
      </c>
      <c r="Y399" s="142"/>
      <c r="Z399" s="149">
        <f t="shared" si="613"/>
        <v>892.5</v>
      </c>
      <c r="AA399" s="150">
        <f t="shared" si="614"/>
        <v>1.3089999999999999</v>
      </c>
      <c r="AE399" s="582">
        <f t="shared" si="615"/>
        <v>0</v>
      </c>
      <c r="AF399" s="582">
        <f t="shared" si="616"/>
        <v>0</v>
      </c>
    </row>
    <row r="400" spans="2:32" ht="18" customHeight="1">
      <c r="B400" s="142" t="s">
        <v>499</v>
      </c>
      <c r="C400" s="221" t="s">
        <v>190</v>
      </c>
      <c r="D400" s="222">
        <v>0</v>
      </c>
      <c r="E400" s="51" t="s">
        <v>511</v>
      </c>
      <c r="F400" s="51" t="s">
        <v>501</v>
      </c>
      <c r="G400" s="63" t="s">
        <v>271</v>
      </c>
      <c r="H400" s="51" t="s">
        <v>529</v>
      </c>
      <c r="I400" s="51">
        <v>10.37</v>
      </c>
      <c r="J400" s="213">
        <v>5255</v>
      </c>
      <c r="K400" s="146">
        <f t="shared" si="617"/>
        <v>255</v>
      </c>
      <c r="L400" s="147">
        <f t="shared" si="618"/>
        <v>8.1197099999999995</v>
      </c>
      <c r="M400" s="147">
        <f t="shared" si="619"/>
        <v>0</v>
      </c>
      <c r="N400" s="147">
        <f t="shared" si="620"/>
        <v>0</v>
      </c>
      <c r="O400" s="147">
        <f t="shared" si="621"/>
        <v>0</v>
      </c>
      <c r="P400" s="148">
        <f t="shared" si="592"/>
        <v>0.78300000000000003</v>
      </c>
      <c r="Q400" s="147">
        <f t="shared" si="593"/>
        <v>0</v>
      </c>
      <c r="R400" s="147">
        <f t="shared" si="594"/>
        <v>0</v>
      </c>
      <c r="S400" s="147">
        <f t="shared" si="595"/>
        <v>0</v>
      </c>
      <c r="T400" s="200" t="str">
        <f t="shared" si="622"/>
        <v>V</v>
      </c>
      <c r="U400" s="214">
        <v>1</v>
      </c>
      <c r="V400" s="214">
        <v>1</v>
      </c>
      <c r="W400" s="214">
        <v>1</v>
      </c>
      <c r="X400" s="214">
        <v>1</v>
      </c>
      <c r="Y400" s="142"/>
      <c r="Z400" s="149">
        <f t="shared" si="613"/>
        <v>2644.35</v>
      </c>
      <c r="AA400" s="150">
        <f t="shared" si="614"/>
        <v>8.1197099999999995</v>
      </c>
      <c r="AE400" s="582">
        <f t="shared" si="615"/>
        <v>0</v>
      </c>
      <c r="AF400" s="582">
        <f t="shared" si="616"/>
        <v>0</v>
      </c>
    </row>
    <row r="401" spans="2:32" ht="18" customHeight="1">
      <c r="B401" s="142" t="s">
        <v>499</v>
      </c>
      <c r="C401" s="221" t="s">
        <v>190</v>
      </c>
      <c r="D401" s="222">
        <v>0</v>
      </c>
      <c r="E401" s="51" t="s">
        <v>512</v>
      </c>
      <c r="F401" s="51" t="s">
        <v>471</v>
      </c>
      <c r="G401" s="63" t="s">
        <v>271</v>
      </c>
      <c r="H401" s="51" t="s">
        <v>378</v>
      </c>
      <c r="I401" s="51">
        <v>18.899999999999999</v>
      </c>
      <c r="J401" s="213" t="s">
        <v>161</v>
      </c>
      <c r="K401" s="146">
        <f t="shared" si="617"/>
        <v>0</v>
      </c>
      <c r="L401" s="147">
        <f t="shared" si="618"/>
        <v>0</v>
      </c>
      <c r="M401" s="147">
        <f t="shared" si="619"/>
        <v>0</v>
      </c>
      <c r="N401" s="147">
        <f t="shared" si="620"/>
        <v>0</v>
      </c>
      <c r="O401" s="147">
        <f t="shared" si="621"/>
        <v>0</v>
      </c>
      <c r="P401" s="148">
        <f t="shared" si="592"/>
        <v>0</v>
      </c>
      <c r="Q401" s="147">
        <f t="shared" si="593"/>
        <v>0</v>
      </c>
      <c r="R401" s="147">
        <f t="shared" si="594"/>
        <v>0</v>
      </c>
      <c r="S401" s="147">
        <f t="shared" si="595"/>
        <v>0</v>
      </c>
      <c r="T401" s="200" t="str">
        <f t="shared" si="622"/>
        <v>nvt</v>
      </c>
      <c r="U401" s="214">
        <v>1</v>
      </c>
      <c r="V401" s="214">
        <v>1</v>
      </c>
      <c r="W401" s="214">
        <v>1</v>
      </c>
      <c r="X401" s="214">
        <v>1</v>
      </c>
      <c r="Y401" s="142"/>
      <c r="Z401" s="149">
        <f t="shared" si="613"/>
        <v>0</v>
      </c>
      <c r="AA401" s="150">
        <f t="shared" si="614"/>
        <v>0</v>
      </c>
      <c r="AE401" s="582">
        <f t="shared" si="615"/>
        <v>0</v>
      </c>
      <c r="AF401" s="582">
        <f t="shared" si="616"/>
        <v>0</v>
      </c>
    </row>
    <row r="402" spans="2:32" ht="18" customHeight="1">
      <c r="B402" s="142" t="s">
        <v>499</v>
      </c>
      <c r="C402" s="221" t="s">
        <v>190</v>
      </c>
      <c r="D402" s="222">
        <v>0</v>
      </c>
      <c r="E402" s="51" t="s">
        <v>513</v>
      </c>
      <c r="F402" s="51" t="s">
        <v>353</v>
      </c>
      <c r="G402" s="63" t="s">
        <v>271</v>
      </c>
      <c r="H402" s="51" t="s">
        <v>401</v>
      </c>
      <c r="I402" s="51">
        <v>33.9</v>
      </c>
      <c r="J402" s="213">
        <v>3255</v>
      </c>
      <c r="K402" s="146">
        <f t="shared" si="617"/>
        <v>255</v>
      </c>
      <c r="L402" s="147">
        <f t="shared" si="618"/>
        <v>12.678599999999999</v>
      </c>
      <c r="M402" s="147">
        <f t="shared" si="619"/>
        <v>0</v>
      </c>
      <c r="N402" s="147">
        <f t="shared" si="620"/>
        <v>0</v>
      </c>
      <c r="O402" s="147">
        <f t="shared" si="621"/>
        <v>0</v>
      </c>
      <c r="P402" s="148">
        <f t="shared" si="592"/>
        <v>0.374</v>
      </c>
      <c r="Q402" s="147">
        <f t="shared" si="593"/>
        <v>0</v>
      </c>
      <c r="R402" s="147">
        <f t="shared" si="594"/>
        <v>0</v>
      </c>
      <c r="S402" s="147">
        <f t="shared" si="595"/>
        <v>0</v>
      </c>
      <c r="T402" s="200" t="str">
        <f t="shared" si="622"/>
        <v>V</v>
      </c>
      <c r="U402" s="214">
        <v>1</v>
      </c>
      <c r="V402" s="214">
        <v>1</v>
      </c>
      <c r="W402" s="214">
        <v>1</v>
      </c>
      <c r="X402" s="214">
        <v>1</v>
      </c>
      <c r="Y402" s="142"/>
      <c r="Z402" s="149">
        <f t="shared" si="613"/>
        <v>8644.5</v>
      </c>
      <c r="AA402" s="150">
        <f t="shared" si="614"/>
        <v>12.678599999999999</v>
      </c>
      <c r="AE402" s="582">
        <f t="shared" si="615"/>
        <v>0</v>
      </c>
      <c r="AF402" s="582">
        <f t="shared" si="616"/>
        <v>0</v>
      </c>
    </row>
    <row r="403" spans="2:32" ht="18" customHeight="1">
      <c r="B403" s="142" t="s">
        <v>499</v>
      </c>
      <c r="C403" s="221" t="s">
        <v>190</v>
      </c>
      <c r="D403" s="222">
        <v>0</v>
      </c>
      <c r="E403" s="51" t="s">
        <v>514</v>
      </c>
      <c r="F403" s="51" t="s">
        <v>501</v>
      </c>
      <c r="G403" s="63" t="s">
        <v>271</v>
      </c>
      <c r="H403" s="51" t="s">
        <v>452</v>
      </c>
      <c r="I403" s="51">
        <v>2.4</v>
      </c>
      <c r="J403" s="213">
        <v>5255</v>
      </c>
      <c r="K403" s="146">
        <f t="shared" si="617"/>
        <v>255</v>
      </c>
      <c r="L403" s="147">
        <f t="shared" si="618"/>
        <v>1.8792</v>
      </c>
      <c r="M403" s="147">
        <f t="shared" si="619"/>
        <v>0</v>
      </c>
      <c r="N403" s="147">
        <f t="shared" si="620"/>
        <v>0</v>
      </c>
      <c r="O403" s="147">
        <f t="shared" si="621"/>
        <v>0</v>
      </c>
      <c r="P403" s="148">
        <f t="shared" si="592"/>
        <v>0.78300000000000003</v>
      </c>
      <c r="Q403" s="147">
        <f t="shared" si="593"/>
        <v>0</v>
      </c>
      <c r="R403" s="147">
        <f t="shared" si="594"/>
        <v>0</v>
      </c>
      <c r="S403" s="147">
        <f t="shared" si="595"/>
        <v>0</v>
      </c>
      <c r="T403" s="200" t="str">
        <f t="shared" si="622"/>
        <v>V</v>
      </c>
      <c r="U403" s="214">
        <v>1</v>
      </c>
      <c r="V403" s="214">
        <v>1</v>
      </c>
      <c r="W403" s="214">
        <v>1</v>
      </c>
      <c r="X403" s="214">
        <v>1</v>
      </c>
      <c r="Y403" s="142"/>
      <c r="Z403" s="149">
        <f t="shared" si="613"/>
        <v>612</v>
      </c>
      <c r="AA403" s="150">
        <f t="shared" si="614"/>
        <v>1.8792</v>
      </c>
      <c r="AE403" s="582">
        <f t="shared" si="615"/>
        <v>0</v>
      </c>
      <c r="AF403" s="582">
        <f t="shared" si="616"/>
        <v>2.4</v>
      </c>
    </row>
    <row r="404" spans="2:32" ht="18" customHeight="1">
      <c r="B404" s="142" t="s">
        <v>499</v>
      </c>
      <c r="C404" s="221" t="s">
        <v>190</v>
      </c>
      <c r="D404" s="222">
        <v>0</v>
      </c>
      <c r="E404" s="51" t="s">
        <v>515</v>
      </c>
      <c r="F404" s="51" t="s">
        <v>530</v>
      </c>
      <c r="G404" s="63" t="s">
        <v>271</v>
      </c>
      <c r="H404" s="51" t="s">
        <v>401</v>
      </c>
      <c r="I404" s="51">
        <v>36.200000000000003</v>
      </c>
      <c r="J404" s="213">
        <v>18255</v>
      </c>
      <c r="K404" s="146">
        <f t="shared" si="617"/>
        <v>255</v>
      </c>
      <c r="L404" s="147">
        <f t="shared" si="618"/>
        <v>20.7788</v>
      </c>
      <c r="M404" s="147">
        <f t="shared" si="619"/>
        <v>0</v>
      </c>
      <c r="N404" s="147">
        <f t="shared" si="620"/>
        <v>0</v>
      </c>
      <c r="O404" s="147">
        <f t="shared" si="621"/>
        <v>0</v>
      </c>
      <c r="P404" s="148">
        <f t="shared" si="592"/>
        <v>0.57399999999999995</v>
      </c>
      <c r="Q404" s="147">
        <f t="shared" si="593"/>
        <v>0</v>
      </c>
      <c r="R404" s="147">
        <f t="shared" si="594"/>
        <v>0</v>
      </c>
      <c r="S404" s="147">
        <f t="shared" si="595"/>
        <v>0</v>
      </c>
      <c r="T404" s="200" t="str">
        <f t="shared" si="622"/>
        <v>V</v>
      </c>
      <c r="U404" s="214">
        <v>1</v>
      </c>
      <c r="V404" s="214">
        <v>1</v>
      </c>
      <c r="W404" s="214">
        <v>1</v>
      </c>
      <c r="X404" s="214">
        <v>1</v>
      </c>
      <c r="Y404" s="142"/>
      <c r="Z404" s="149">
        <f t="shared" si="613"/>
        <v>9231</v>
      </c>
      <c r="AA404" s="150">
        <f t="shared" si="614"/>
        <v>20.7788</v>
      </c>
      <c r="AE404" s="582">
        <f t="shared" si="615"/>
        <v>0</v>
      </c>
      <c r="AF404" s="582">
        <f t="shared" si="616"/>
        <v>0</v>
      </c>
    </row>
    <row r="405" spans="2:32" ht="18" customHeight="1">
      <c r="B405" s="142" t="s">
        <v>499</v>
      </c>
      <c r="C405" s="221" t="s">
        <v>190</v>
      </c>
      <c r="D405" s="222">
        <v>0</v>
      </c>
      <c r="E405" s="51" t="s">
        <v>516</v>
      </c>
      <c r="F405" s="51" t="s">
        <v>531</v>
      </c>
      <c r="G405" s="63" t="s">
        <v>271</v>
      </c>
      <c r="H405" s="51" t="s">
        <v>401</v>
      </c>
      <c r="I405" s="51">
        <v>3.14</v>
      </c>
      <c r="J405" s="213">
        <v>3255</v>
      </c>
      <c r="K405" s="146">
        <f t="shared" si="617"/>
        <v>255</v>
      </c>
      <c r="L405" s="147">
        <f t="shared" si="618"/>
        <v>1.1743600000000001</v>
      </c>
      <c r="M405" s="147">
        <f t="shared" si="619"/>
        <v>0</v>
      </c>
      <c r="N405" s="147">
        <f t="shared" si="620"/>
        <v>0</v>
      </c>
      <c r="O405" s="147">
        <f t="shared" si="621"/>
        <v>0</v>
      </c>
      <c r="P405" s="148">
        <f t="shared" si="592"/>
        <v>0.374</v>
      </c>
      <c r="Q405" s="147">
        <f t="shared" si="593"/>
        <v>0</v>
      </c>
      <c r="R405" s="147">
        <f t="shared" si="594"/>
        <v>0</v>
      </c>
      <c r="S405" s="147">
        <f t="shared" si="595"/>
        <v>0</v>
      </c>
      <c r="T405" s="200" t="str">
        <f t="shared" si="622"/>
        <v>V</v>
      </c>
      <c r="U405" s="214">
        <v>1</v>
      </c>
      <c r="V405" s="214">
        <v>1</v>
      </c>
      <c r="W405" s="214">
        <v>1</v>
      </c>
      <c r="X405" s="214">
        <v>1</v>
      </c>
      <c r="Y405" s="142"/>
      <c r="Z405" s="149">
        <f t="shared" si="613"/>
        <v>800.7</v>
      </c>
      <c r="AA405" s="150">
        <f t="shared" si="614"/>
        <v>1.1743600000000001</v>
      </c>
      <c r="AE405" s="582">
        <f t="shared" si="615"/>
        <v>0</v>
      </c>
      <c r="AF405" s="582">
        <f t="shared" si="616"/>
        <v>0</v>
      </c>
    </row>
    <row r="406" spans="2:32" ht="18" customHeight="1">
      <c r="B406" s="142" t="s">
        <v>499</v>
      </c>
      <c r="C406" s="221" t="s">
        <v>190</v>
      </c>
      <c r="D406" s="222">
        <v>0</v>
      </c>
      <c r="E406" s="51" t="s">
        <v>517</v>
      </c>
      <c r="F406" s="51" t="s">
        <v>509</v>
      </c>
      <c r="G406" s="63" t="s">
        <v>271</v>
      </c>
      <c r="H406" s="51" t="s">
        <v>401</v>
      </c>
      <c r="I406" s="51">
        <v>75</v>
      </c>
      <c r="J406" s="213">
        <v>18255</v>
      </c>
      <c r="K406" s="146">
        <f t="shared" si="617"/>
        <v>255</v>
      </c>
      <c r="L406" s="147">
        <f t="shared" si="618"/>
        <v>43.05</v>
      </c>
      <c r="M406" s="147">
        <f t="shared" si="619"/>
        <v>0</v>
      </c>
      <c r="N406" s="147">
        <f t="shared" si="620"/>
        <v>0</v>
      </c>
      <c r="O406" s="147">
        <f t="shared" si="621"/>
        <v>0</v>
      </c>
      <c r="P406" s="148">
        <f t="shared" si="592"/>
        <v>0.57399999999999995</v>
      </c>
      <c r="Q406" s="147">
        <f t="shared" si="593"/>
        <v>0</v>
      </c>
      <c r="R406" s="147">
        <f t="shared" si="594"/>
        <v>0</v>
      </c>
      <c r="S406" s="147">
        <f t="shared" si="595"/>
        <v>0</v>
      </c>
      <c r="T406" s="200" t="str">
        <f t="shared" si="622"/>
        <v>V</v>
      </c>
      <c r="U406" s="214">
        <v>1</v>
      </c>
      <c r="V406" s="214">
        <v>1</v>
      </c>
      <c r="W406" s="214">
        <v>1</v>
      </c>
      <c r="X406" s="214">
        <v>1</v>
      </c>
      <c r="Y406" s="142"/>
      <c r="Z406" s="149">
        <f t="shared" si="613"/>
        <v>19125</v>
      </c>
      <c r="AA406" s="150">
        <f t="shared" si="614"/>
        <v>43.05</v>
      </c>
      <c r="AE406" s="582">
        <f t="shared" si="615"/>
        <v>0</v>
      </c>
      <c r="AF406" s="582">
        <f t="shared" si="616"/>
        <v>0</v>
      </c>
    </row>
    <row r="407" spans="2:32" ht="18" customHeight="1">
      <c r="B407" s="142" t="s">
        <v>499</v>
      </c>
      <c r="C407" s="221" t="s">
        <v>190</v>
      </c>
      <c r="D407" s="222">
        <v>0</v>
      </c>
      <c r="E407" s="51" t="s">
        <v>519</v>
      </c>
      <c r="F407" s="51" t="s">
        <v>413</v>
      </c>
      <c r="G407" s="63" t="s">
        <v>271</v>
      </c>
      <c r="H407" s="51" t="s">
        <v>401</v>
      </c>
      <c r="I407" s="51">
        <v>33</v>
      </c>
      <c r="J407" s="213">
        <v>18255</v>
      </c>
      <c r="K407" s="146">
        <f t="shared" si="617"/>
        <v>255</v>
      </c>
      <c r="L407" s="147">
        <f t="shared" si="618"/>
        <v>18.942</v>
      </c>
      <c r="M407" s="147">
        <f t="shared" si="619"/>
        <v>0</v>
      </c>
      <c r="N407" s="147">
        <f t="shared" si="620"/>
        <v>0</v>
      </c>
      <c r="O407" s="147">
        <f t="shared" si="621"/>
        <v>0</v>
      </c>
      <c r="P407" s="148">
        <f t="shared" si="592"/>
        <v>0.57399999999999995</v>
      </c>
      <c r="Q407" s="147">
        <f t="shared" si="593"/>
        <v>0</v>
      </c>
      <c r="R407" s="147">
        <f t="shared" si="594"/>
        <v>0</v>
      </c>
      <c r="S407" s="147">
        <f t="shared" si="595"/>
        <v>0</v>
      </c>
      <c r="T407" s="200" t="str">
        <f t="shared" si="622"/>
        <v>V</v>
      </c>
      <c r="U407" s="214">
        <v>1</v>
      </c>
      <c r="V407" s="214">
        <v>1</v>
      </c>
      <c r="W407" s="214">
        <v>1</v>
      </c>
      <c r="X407" s="214">
        <v>1</v>
      </c>
      <c r="Y407" s="142"/>
      <c r="Z407" s="149">
        <f t="shared" si="613"/>
        <v>8415</v>
      </c>
      <c r="AA407" s="150">
        <f t="shared" si="614"/>
        <v>18.942</v>
      </c>
      <c r="AE407" s="582">
        <f t="shared" si="615"/>
        <v>0</v>
      </c>
      <c r="AF407" s="582">
        <f t="shared" si="616"/>
        <v>0</v>
      </c>
    </row>
    <row r="408" spans="2:32" ht="18" customHeight="1">
      <c r="B408" s="142" t="s">
        <v>499</v>
      </c>
      <c r="C408" s="221" t="s">
        <v>190</v>
      </c>
      <c r="D408" s="222">
        <v>0</v>
      </c>
      <c r="E408" s="51" t="s">
        <v>520</v>
      </c>
      <c r="F408" s="51" t="s">
        <v>281</v>
      </c>
      <c r="G408" s="63" t="s">
        <v>271</v>
      </c>
      <c r="H408" s="51" t="s">
        <v>76</v>
      </c>
      <c r="I408" s="51">
        <v>2.4</v>
      </c>
      <c r="J408" s="213">
        <v>5255</v>
      </c>
      <c r="K408" s="146">
        <f t="shared" si="617"/>
        <v>255</v>
      </c>
      <c r="L408" s="147">
        <f t="shared" si="618"/>
        <v>1.8792</v>
      </c>
      <c r="M408" s="147">
        <f t="shared" si="619"/>
        <v>0</v>
      </c>
      <c r="N408" s="147">
        <f t="shared" si="620"/>
        <v>0</v>
      </c>
      <c r="O408" s="147">
        <f t="shared" si="621"/>
        <v>0</v>
      </c>
      <c r="P408" s="148">
        <f t="shared" si="592"/>
        <v>0.78300000000000003</v>
      </c>
      <c r="Q408" s="147">
        <f t="shared" si="593"/>
        <v>0</v>
      </c>
      <c r="R408" s="147">
        <f t="shared" si="594"/>
        <v>0</v>
      </c>
      <c r="S408" s="147">
        <f t="shared" si="595"/>
        <v>0</v>
      </c>
      <c r="T408" s="200" t="str">
        <f t="shared" si="622"/>
        <v>V</v>
      </c>
      <c r="U408" s="214">
        <v>1</v>
      </c>
      <c r="V408" s="214">
        <v>1</v>
      </c>
      <c r="W408" s="214">
        <v>1</v>
      </c>
      <c r="X408" s="214">
        <v>1</v>
      </c>
      <c r="Y408" s="142"/>
      <c r="Z408" s="149">
        <f t="shared" si="613"/>
        <v>612</v>
      </c>
      <c r="AA408" s="150">
        <f t="shared" si="614"/>
        <v>1.8792</v>
      </c>
      <c r="AE408" s="582">
        <f t="shared" si="615"/>
        <v>0</v>
      </c>
      <c r="AF408" s="582">
        <f t="shared" si="616"/>
        <v>2.4</v>
      </c>
    </row>
    <row r="409" spans="2:32" ht="18" customHeight="1">
      <c r="B409" s="142" t="s">
        <v>499</v>
      </c>
      <c r="C409" s="221" t="s">
        <v>190</v>
      </c>
      <c r="D409" s="143">
        <v>1</v>
      </c>
      <c r="E409" s="51">
        <v>101</v>
      </c>
      <c r="F409" s="51" t="s">
        <v>521</v>
      </c>
      <c r="G409" s="63" t="s">
        <v>271</v>
      </c>
      <c r="H409" s="51" t="s">
        <v>76</v>
      </c>
      <c r="I409" s="51">
        <v>2.5</v>
      </c>
      <c r="J409" s="213">
        <v>3255</v>
      </c>
      <c r="K409" s="146">
        <f t="shared" si="617"/>
        <v>255</v>
      </c>
      <c r="L409" s="147">
        <f t="shared" si="618"/>
        <v>0.93500000000000005</v>
      </c>
      <c r="M409" s="147">
        <f t="shared" si="619"/>
        <v>0</v>
      </c>
      <c r="N409" s="147">
        <f t="shared" si="620"/>
        <v>0</v>
      </c>
      <c r="O409" s="147">
        <f t="shared" si="621"/>
        <v>0</v>
      </c>
      <c r="P409" s="148">
        <f t="shared" si="592"/>
        <v>0.374</v>
      </c>
      <c r="Q409" s="147">
        <f t="shared" si="593"/>
        <v>0</v>
      </c>
      <c r="R409" s="147">
        <f t="shared" si="594"/>
        <v>0</v>
      </c>
      <c r="S409" s="147">
        <f t="shared" si="595"/>
        <v>0</v>
      </c>
      <c r="T409" s="200" t="str">
        <f t="shared" si="622"/>
        <v>V</v>
      </c>
      <c r="U409" s="214">
        <v>1</v>
      </c>
      <c r="V409" s="214">
        <v>1</v>
      </c>
      <c r="W409" s="214">
        <v>1</v>
      </c>
      <c r="X409" s="214">
        <v>1</v>
      </c>
      <c r="Y409" s="142"/>
      <c r="Z409" s="149">
        <f t="shared" si="613"/>
        <v>637.5</v>
      </c>
      <c r="AA409" s="150">
        <f t="shared" si="614"/>
        <v>0.93500000000000005</v>
      </c>
      <c r="AE409" s="582">
        <f t="shared" si="615"/>
        <v>0</v>
      </c>
      <c r="AF409" s="582">
        <f t="shared" si="616"/>
        <v>2.5</v>
      </c>
    </row>
    <row r="410" spans="2:32" ht="18" customHeight="1">
      <c r="B410" s="142" t="s">
        <v>499</v>
      </c>
      <c r="C410" s="221" t="s">
        <v>190</v>
      </c>
      <c r="D410" s="143">
        <v>1</v>
      </c>
      <c r="E410" s="51">
        <v>102</v>
      </c>
      <c r="F410" s="51" t="s">
        <v>451</v>
      </c>
      <c r="G410" s="63" t="s">
        <v>266</v>
      </c>
      <c r="H410" s="51" t="s">
        <v>267</v>
      </c>
      <c r="I410" s="51">
        <v>2.7</v>
      </c>
      <c r="J410" s="213">
        <v>2255</v>
      </c>
      <c r="K410" s="146">
        <f t="shared" si="617"/>
        <v>255</v>
      </c>
      <c r="L410" s="147">
        <f t="shared" si="618"/>
        <v>8.6616000000000017</v>
      </c>
      <c r="M410" s="147">
        <f t="shared" si="619"/>
        <v>0</v>
      </c>
      <c r="N410" s="147">
        <f t="shared" si="620"/>
        <v>0</v>
      </c>
      <c r="O410" s="147">
        <f t="shared" si="621"/>
        <v>0</v>
      </c>
      <c r="P410" s="148">
        <f t="shared" si="592"/>
        <v>3.2080000000000002</v>
      </c>
      <c r="Q410" s="147">
        <f t="shared" si="593"/>
        <v>0</v>
      </c>
      <c r="R410" s="147">
        <f t="shared" si="594"/>
        <v>0</v>
      </c>
      <c r="S410" s="147">
        <f t="shared" si="595"/>
        <v>0</v>
      </c>
      <c r="T410" s="200" t="str">
        <f t="shared" si="622"/>
        <v>S</v>
      </c>
      <c r="U410" s="214">
        <v>1</v>
      </c>
      <c r="V410" s="214">
        <v>1</v>
      </c>
      <c r="W410" s="214">
        <v>1</v>
      </c>
      <c r="X410" s="214">
        <v>1</v>
      </c>
      <c r="Y410" s="142"/>
      <c r="Z410" s="149">
        <f t="shared" si="613"/>
        <v>688.5</v>
      </c>
      <c r="AA410" s="150">
        <f t="shared" si="614"/>
        <v>8.6616000000000017</v>
      </c>
      <c r="AE410" s="582">
        <f t="shared" si="615"/>
        <v>0</v>
      </c>
      <c r="AF410" s="582">
        <f t="shared" si="616"/>
        <v>0</v>
      </c>
    </row>
    <row r="411" spans="2:32" ht="18" customHeight="1">
      <c r="B411" s="142" t="s">
        <v>499</v>
      </c>
      <c r="C411" s="221" t="s">
        <v>190</v>
      </c>
      <c r="D411" s="143">
        <v>1</v>
      </c>
      <c r="E411" s="51">
        <v>103</v>
      </c>
      <c r="F411" s="51" t="s">
        <v>353</v>
      </c>
      <c r="G411" s="63" t="s">
        <v>271</v>
      </c>
      <c r="H411" s="51" t="s">
        <v>76</v>
      </c>
      <c r="I411" s="51">
        <v>24</v>
      </c>
      <c r="J411" s="213">
        <v>3255</v>
      </c>
      <c r="K411" s="146">
        <f t="shared" si="617"/>
        <v>255</v>
      </c>
      <c r="L411" s="147">
        <f t="shared" si="618"/>
        <v>8.9759999999999991</v>
      </c>
      <c r="M411" s="147">
        <f t="shared" si="619"/>
        <v>0</v>
      </c>
      <c r="N411" s="147">
        <f t="shared" si="620"/>
        <v>0</v>
      </c>
      <c r="O411" s="147">
        <f t="shared" si="621"/>
        <v>0</v>
      </c>
      <c r="P411" s="148">
        <f t="shared" ref="P411:P493" si="623">IF($J411="",0,VLOOKUP($J411,Kengetal,5,FALSE))</f>
        <v>0.374</v>
      </c>
      <c r="Q411" s="147">
        <f t="shared" ref="Q411:Q493" si="624">IF($J411="",0,VLOOKUP($J411,Kengetal,6,FALSE))</f>
        <v>0</v>
      </c>
      <c r="R411" s="147">
        <f t="shared" ref="R411:R493" si="625">IF($J411="",0,VLOOKUP($J411,Kengetal,7,FALSE))</f>
        <v>0</v>
      </c>
      <c r="S411" s="147">
        <f t="shared" ref="S411:S493" si="626">IF($J411="",0,VLOOKUP($J411,Kengetal,8,FALSE))</f>
        <v>0</v>
      </c>
      <c r="T411" s="200" t="str">
        <f t="shared" si="622"/>
        <v>V</v>
      </c>
      <c r="U411" s="214">
        <v>1</v>
      </c>
      <c r="V411" s="214">
        <v>1</v>
      </c>
      <c r="W411" s="214">
        <v>1</v>
      </c>
      <c r="X411" s="214">
        <v>1</v>
      </c>
      <c r="Y411" s="142"/>
      <c r="Z411" s="149">
        <f t="shared" si="613"/>
        <v>6120</v>
      </c>
      <c r="AA411" s="150">
        <f t="shared" si="614"/>
        <v>8.9759999999999991</v>
      </c>
      <c r="AE411" s="582">
        <f t="shared" si="615"/>
        <v>0</v>
      </c>
      <c r="AF411" s="582">
        <f t="shared" si="616"/>
        <v>24</v>
      </c>
    </row>
    <row r="412" spans="2:32" ht="18" customHeight="1">
      <c r="B412" s="142" t="s">
        <v>499</v>
      </c>
      <c r="C412" s="221" t="s">
        <v>190</v>
      </c>
      <c r="D412" s="222">
        <v>0</v>
      </c>
      <c r="E412" s="51" t="s">
        <v>532</v>
      </c>
      <c r="F412" s="51" t="s">
        <v>522</v>
      </c>
      <c r="G412" s="63" t="s">
        <v>266</v>
      </c>
      <c r="H412" s="51" t="s">
        <v>523</v>
      </c>
      <c r="I412" s="51">
        <v>16</v>
      </c>
      <c r="J412" s="213">
        <v>2255</v>
      </c>
      <c r="K412" s="146">
        <f t="shared" si="617"/>
        <v>255</v>
      </c>
      <c r="L412" s="147">
        <f t="shared" si="618"/>
        <v>51.328000000000003</v>
      </c>
      <c r="M412" s="147">
        <f t="shared" si="619"/>
        <v>0</v>
      </c>
      <c r="N412" s="147">
        <f t="shared" si="620"/>
        <v>0</v>
      </c>
      <c r="O412" s="147">
        <f t="shared" si="621"/>
        <v>0</v>
      </c>
      <c r="P412" s="148">
        <f t="shared" si="623"/>
        <v>3.2080000000000002</v>
      </c>
      <c r="Q412" s="147">
        <f t="shared" si="624"/>
        <v>0</v>
      </c>
      <c r="R412" s="147">
        <f t="shared" si="625"/>
        <v>0</v>
      </c>
      <c r="S412" s="147">
        <f t="shared" si="626"/>
        <v>0</v>
      </c>
      <c r="T412" s="200" t="str">
        <f t="shared" si="622"/>
        <v>S</v>
      </c>
      <c r="U412" s="214">
        <v>1</v>
      </c>
      <c r="V412" s="214">
        <v>1</v>
      </c>
      <c r="W412" s="214">
        <v>1</v>
      </c>
      <c r="X412" s="214">
        <v>1</v>
      </c>
      <c r="Y412" s="142"/>
      <c r="Z412" s="149">
        <f t="shared" si="613"/>
        <v>4080</v>
      </c>
      <c r="AA412" s="150">
        <f t="shared" si="614"/>
        <v>51.328000000000003</v>
      </c>
      <c r="AE412" s="582">
        <f t="shared" si="615"/>
        <v>0</v>
      </c>
      <c r="AF412" s="582">
        <f t="shared" si="616"/>
        <v>0</v>
      </c>
    </row>
    <row r="413" spans="2:32" ht="18" customHeight="1">
      <c r="B413" s="142" t="s">
        <v>499</v>
      </c>
      <c r="C413" s="221" t="s">
        <v>190</v>
      </c>
      <c r="D413" s="222">
        <v>0</v>
      </c>
      <c r="E413" s="51" t="s">
        <v>533</v>
      </c>
      <c r="F413" s="51" t="s">
        <v>522</v>
      </c>
      <c r="G413" s="63" t="s">
        <v>266</v>
      </c>
      <c r="H413" s="51" t="s">
        <v>523</v>
      </c>
      <c r="I413" s="51">
        <v>16</v>
      </c>
      <c r="J413" s="213">
        <v>2255</v>
      </c>
      <c r="K413" s="146">
        <f t="shared" si="617"/>
        <v>255</v>
      </c>
      <c r="L413" s="147">
        <f t="shared" si="618"/>
        <v>51.328000000000003</v>
      </c>
      <c r="M413" s="147">
        <f t="shared" si="619"/>
        <v>0</v>
      </c>
      <c r="N413" s="147">
        <f t="shared" si="620"/>
        <v>0</v>
      </c>
      <c r="O413" s="147">
        <f t="shared" si="621"/>
        <v>0</v>
      </c>
      <c r="P413" s="148">
        <f t="shared" si="623"/>
        <v>3.2080000000000002</v>
      </c>
      <c r="Q413" s="147">
        <f t="shared" si="624"/>
        <v>0</v>
      </c>
      <c r="R413" s="147">
        <f t="shared" si="625"/>
        <v>0</v>
      </c>
      <c r="S413" s="147">
        <f t="shared" si="626"/>
        <v>0</v>
      </c>
      <c r="T413" s="200" t="str">
        <f t="shared" si="622"/>
        <v>S</v>
      </c>
      <c r="U413" s="214">
        <v>1</v>
      </c>
      <c r="V413" s="214">
        <v>1</v>
      </c>
      <c r="W413" s="214">
        <v>1</v>
      </c>
      <c r="X413" s="214">
        <v>1</v>
      </c>
      <c r="Y413" s="142"/>
      <c r="Z413" s="149">
        <f t="shared" si="613"/>
        <v>4080</v>
      </c>
      <c r="AA413" s="150">
        <f t="shared" si="614"/>
        <v>51.328000000000003</v>
      </c>
      <c r="AE413" s="582">
        <f t="shared" si="615"/>
        <v>0</v>
      </c>
      <c r="AF413" s="582">
        <f t="shared" si="616"/>
        <v>0</v>
      </c>
    </row>
    <row r="414" spans="2:32" ht="18" customHeight="1">
      <c r="B414" s="142" t="s">
        <v>499</v>
      </c>
      <c r="C414" s="221" t="s">
        <v>190</v>
      </c>
      <c r="D414" s="222">
        <v>0</v>
      </c>
      <c r="E414" s="51" t="s">
        <v>534</v>
      </c>
      <c r="F414" s="51" t="s">
        <v>144</v>
      </c>
      <c r="G414" s="63" t="s">
        <v>271</v>
      </c>
      <c r="H414" s="51" t="s">
        <v>378</v>
      </c>
      <c r="I414" s="51">
        <v>19.3</v>
      </c>
      <c r="J414" s="213">
        <v>8255</v>
      </c>
      <c r="K414" s="146">
        <f t="shared" si="617"/>
        <v>255</v>
      </c>
      <c r="L414" s="147">
        <f t="shared" si="618"/>
        <v>38.6</v>
      </c>
      <c r="M414" s="147">
        <f t="shared" si="619"/>
        <v>0</v>
      </c>
      <c r="N414" s="147">
        <f t="shared" si="620"/>
        <v>0</v>
      </c>
      <c r="O414" s="147">
        <f t="shared" si="621"/>
        <v>0</v>
      </c>
      <c r="P414" s="148">
        <f t="shared" si="623"/>
        <v>2</v>
      </c>
      <c r="Q414" s="147">
        <f t="shared" si="624"/>
        <v>0</v>
      </c>
      <c r="R414" s="147">
        <f t="shared" si="625"/>
        <v>0</v>
      </c>
      <c r="S414" s="147">
        <f t="shared" si="626"/>
        <v>0</v>
      </c>
      <c r="T414" s="200" t="str">
        <f t="shared" si="622"/>
        <v>V</v>
      </c>
      <c r="U414" s="214">
        <v>1</v>
      </c>
      <c r="V414" s="214">
        <v>1</v>
      </c>
      <c r="W414" s="214">
        <v>1</v>
      </c>
      <c r="X414" s="214">
        <v>1</v>
      </c>
      <c r="Y414" s="142"/>
      <c r="Z414" s="149">
        <f t="shared" si="613"/>
        <v>4921.5</v>
      </c>
      <c r="AA414" s="150">
        <f t="shared" si="614"/>
        <v>38.6</v>
      </c>
      <c r="AE414" s="582">
        <f t="shared" si="615"/>
        <v>0</v>
      </c>
      <c r="AF414" s="582">
        <f t="shared" si="616"/>
        <v>0</v>
      </c>
    </row>
    <row r="415" spans="2:32" ht="18" customHeight="1">
      <c r="B415" s="142" t="s">
        <v>499</v>
      </c>
      <c r="C415" s="221" t="s">
        <v>190</v>
      </c>
      <c r="D415" s="222">
        <v>0</v>
      </c>
      <c r="E415" s="51" t="s">
        <v>535</v>
      </c>
      <c r="F415" s="51" t="s">
        <v>536</v>
      </c>
      <c r="G415" s="63" t="s">
        <v>271</v>
      </c>
      <c r="H415" s="51" t="s">
        <v>401</v>
      </c>
      <c r="I415" s="51">
        <v>77.7</v>
      </c>
      <c r="J415" s="213">
        <v>18255</v>
      </c>
      <c r="K415" s="146">
        <f t="shared" si="617"/>
        <v>255</v>
      </c>
      <c r="L415" s="147">
        <f t="shared" si="618"/>
        <v>44.599799999999995</v>
      </c>
      <c r="M415" s="147">
        <f t="shared" si="619"/>
        <v>0</v>
      </c>
      <c r="N415" s="147">
        <f t="shared" si="620"/>
        <v>0</v>
      </c>
      <c r="O415" s="147">
        <f t="shared" si="621"/>
        <v>0</v>
      </c>
      <c r="P415" s="148">
        <f t="shared" si="623"/>
        <v>0.57399999999999995</v>
      </c>
      <c r="Q415" s="147">
        <f t="shared" si="624"/>
        <v>0</v>
      </c>
      <c r="R415" s="147">
        <f t="shared" si="625"/>
        <v>0</v>
      </c>
      <c r="S415" s="147">
        <f t="shared" si="626"/>
        <v>0</v>
      </c>
      <c r="T415" s="200" t="str">
        <f t="shared" si="622"/>
        <v>V</v>
      </c>
      <c r="U415" s="214">
        <v>1</v>
      </c>
      <c r="V415" s="214">
        <v>1</v>
      </c>
      <c r="W415" s="214">
        <v>1</v>
      </c>
      <c r="X415" s="214">
        <v>1</v>
      </c>
      <c r="Y415" s="142"/>
      <c r="Z415" s="149">
        <f t="shared" si="613"/>
        <v>19813.5</v>
      </c>
      <c r="AA415" s="150">
        <f t="shared" si="614"/>
        <v>44.599799999999995</v>
      </c>
      <c r="AE415" s="582">
        <f t="shared" si="615"/>
        <v>0</v>
      </c>
      <c r="AF415" s="582">
        <f t="shared" si="616"/>
        <v>0</v>
      </c>
    </row>
    <row r="416" spans="2:32" ht="18" customHeight="1">
      <c r="B416" s="142" t="s">
        <v>499</v>
      </c>
      <c r="C416" s="221" t="s">
        <v>190</v>
      </c>
      <c r="D416" s="222">
        <v>0</v>
      </c>
      <c r="E416" s="51" t="s">
        <v>537</v>
      </c>
      <c r="F416" s="51" t="s">
        <v>538</v>
      </c>
      <c r="G416" s="63" t="s">
        <v>271</v>
      </c>
      <c r="H416" s="51" t="s">
        <v>401</v>
      </c>
      <c r="I416" s="51">
        <v>33.299999999999997</v>
      </c>
      <c r="J416" s="213" t="s">
        <v>161</v>
      </c>
      <c r="K416" s="146">
        <f t="shared" si="617"/>
        <v>0</v>
      </c>
      <c r="L416" s="147">
        <f t="shared" si="618"/>
        <v>0</v>
      </c>
      <c r="M416" s="147">
        <f t="shared" si="619"/>
        <v>0</v>
      </c>
      <c r="N416" s="147">
        <f t="shared" si="620"/>
        <v>0</v>
      </c>
      <c r="O416" s="147">
        <f t="shared" si="621"/>
        <v>0</v>
      </c>
      <c r="P416" s="148">
        <f t="shared" si="623"/>
        <v>0</v>
      </c>
      <c r="Q416" s="147">
        <f t="shared" si="624"/>
        <v>0</v>
      </c>
      <c r="R416" s="147">
        <f t="shared" si="625"/>
        <v>0</v>
      </c>
      <c r="S416" s="147">
        <f t="shared" si="626"/>
        <v>0</v>
      </c>
      <c r="T416" s="200" t="str">
        <f t="shared" si="622"/>
        <v>nvt</v>
      </c>
      <c r="U416" s="214">
        <v>1</v>
      </c>
      <c r="V416" s="214">
        <v>1</v>
      </c>
      <c r="W416" s="214">
        <v>1</v>
      </c>
      <c r="X416" s="214">
        <v>1</v>
      </c>
      <c r="Y416" s="142"/>
      <c r="Z416" s="149">
        <f t="shared" si="613"/>
        <v>0</v>
      </c>
      <c r="AA416" s="150">
        <f t="shared" si="614"/>
        <v>0</v>
      </c>
      <c r="AE416" s="582">
        <f t="shared" si="615"/>
        <v>0</v>
      </c>
      <c r="AF416" s="582">
        <f t="shared" si="616"/>
        <v>0</v>
      </c>
    </row>
    <row r="417" spans="2:32" ht="18" customHeight="1">
      <c r="B417" s="142" t="s">
        <v>499</v>
      </c>
      <c r="C417" s="221" t="s">
        <v>190</v>
      </c>
      <c r="D417" s="222">
        <v>0</v>
      </c>
      <c r="E417" s="51" t="s">
        <v>539</v>
      </c>
      <c r="F417" s="51" t="s">
        <v>540</v>
      </c>
      <c r="G417" s="63" t="s">
        <v>271</v>
      </c>
      <c r="H417" s="51" t="s">
        <v>378</v>
      </c>
      <c r="I417" s="51">
        <v>12.6</v>
      </c>
      <c r="J417" s="213" t="s">
        <v>161</v>
      </c>
      <c r="K417" s="146">
        <f t="shared" si="617"/>
        <v>0</v>
      </c>
      <c r="L417" s="147">
        <f t="shared" si="618"/>
        <v>0</v>
      </c>
      <c r="M417" s="147">
        <f t="shared" si="619"/>
        <v>0</v>
      </c>
      <c r="N417" s="147">
        <f t="shared" si="620"/>
        <v>0</v>
      </c>
      <c r="O417" s="147">
        <f t="shared" si="621"/>
        <v>0</v>
      </c>
      <c r="P417" s="148">
        <f t="shared" si="623"/>
        <v>0</v>
      </c>
      <c r="Q417" s="147">
        <f t="shared" si="624"/>
        <v>0</v>
      </c>
      <c r="R417" s="147">
        <f t="shared" si="625"/>
        <v>0</v>
      </c>
      <c r="S417" s="147">
        <f t="shared" si="626"/>
        <v>0</v>
      </c>
      <c r="T417" s="200" t="str">
        <f t="shared" si="622"/>
        <v>nvt</v>
      </c>
      <c r="U417" s="214">
        <v>1</v>
      </c>
      <c r="V417" s="214">
        <v>1</v>
      </c>
      <c r="W417" s="214">
        <v>1</v>
      </c>
      <c r="X417" s="214">
        <v>1</v>
      </c>
      <c r="Y417" s="142"/>
      <c r="Z417" s="149">
        <f t="shared" si="613"/>
        <v>0</v>
      </c>
      <c r="AA417" s="150">
        <f t="shared" si="614"/>
        <v>0</v>
      </c>
      <c r="AE417" s="582">
        <f t="shared" si="615"/>
        <v>0</v>
      </c>
      <c r="AF417" s="582">
        <f t="shared" si="616"/>
        <v>0</v>
      </c>
    </row>
    <row r="418" spans="2:32" ht="18" customHeight="1">
      <c r="B418" s="142" t="s">
        <v>499</v>
      </c>
      <c r="C418" s="221" t="s">
        <v>190</v>
      </c>
      <c r="D418" s="222">
        <v>0</v>
      </c>
      <c r="E418" s="51" t="s">
        <v>541</v>
      </c>
      <c r="F418" s="51" t="s">
        <v>265</v>
      </c>
      <c r="G418" s="63" t="s">
        <v>266</v>
      </c>
      <c r="H418" s="51" t="s">
        <v>378</v>
      </c>
      <c r="I418" s="51">
        <v>6</v>
      </c>
      <c r="J418" s="213">
        <v>2255</v>
      </c>
      <c r="K418" s="146">
        <f t="shared" si="617"/>
        <v>255</v>
      </c>
      <c r="L418" s="147">
        <f t="shared" si="618"/>
        <v>19.248000000000001</v>
      </c>
      <c r="M418" s="147">
        <f t="shared" si="619"/>
        <v>0</v>
      </c>
      <c r="N418" s="147">
        <f t="shared" si="620"/>
        <v>0</v>
      </c>
      <c r="O418" s="147">
        <f t="shared" si="621"/>
        <v>0</v>
      </c>
      <c r="P418" s="148">
        <f t="shared" si="623"/>
        <v>3.2080000000000002</v>
      </c>
      <c r="Q418" s="147">
        <f t="shared" si="624"/>
        <v>0</v>
      </c>
      <c r="R418" s="147">
        <f t="shared" si="625"/>
        <v>0</v>
      </c>
      <c r="S418" s="147">
        <f t="shared" si="626"/>
        <v>0</v>
      </c>
      <c r="T418" s="200" t="str">
        <f t="shared" si="622"/>
        <v>S</v>
      </c>
      <c r="U418" s="214">
        <v>1</v>
      </c>
      <c r="V418" s="214">
        <v>1</v>
      </c>
      <c r="W418" s="214">
        <v>1</v>
      </c>
      <c r="X418" s="214">
        <v>1</v>
      </c>
      <c r="Y418" s="142"/>
      <c r="Z418" s="149">
        <f t="shared" si="613"/>
        <v>1530</v>
      </c>
      <c r="AA418" s="150">
        <f t="shared" si="614"/>
        <v>19.248000000000001</v>
      </c>
      <c r="AE418" s="582">
        <f t="shared" si="615"/>
        <v>0</v>
      </c>
      <c r="AF418" s="582">
        <f t="shared" si="616"/>
        <v>0</v>
      </c>
    </row>
    <row r="419" spans="2:32" ht="18" customHeight="1">
      <c r="B419" s="142" t="s">
        <v>499</v>
      </c>
      <c r="C419" s="221" t="s">
        <v>190</v>
      </c>
      <c r="D419" s="222">
        <v>0</v>
      </c>
      <c r="E419" s="51" t="s">
        <v>542</v>
      </c>
      <c r="F419" s="51" t="s">
        <v>265</v>
      </c>
      <c r="G419" s="63" t="s">
        <v>266</v>
      </c>
      <c r="H419" s="51" t="s">
        <v>378</v>
      </c>
      <c r="I419" s="51">
        <v>1.6</v>
      </c>
      <c r="J419" s="213">
        <v>2255</v>
      </c>
      <c r="K419" s="146">
        <f t="shared" si="617"/>
        <v>255</v>
      </c>
      <c r="L419" s="147">
        <f t="shared" si="618"/>
        <v>5.1328000000000005</v>
      </c>
      <c r="M419" s="147">
        <f t="shared" si="619"/>
        <v>0</v>
      </c>
      <c r="N419" s="147">
        <f t="shared" si="620"/>
        <v>0</v>
      </c>
      <c r="O419" s="147">
        <f t="shared" si="621"/>
        <v>0</v>
      </c>
      <c r="P419" s="148">
        <f t="shared" si="623"/>
        <v>3.2080000000000002</v>
      </c>
      <c r="Q419" s="147">
        <f t="shared" si="624"/>
        <v>0</v>
      </c>
      <c r="R419" s="147">
        <f t="shared" si="625"/>
        <v>0</v>
      </c>
      <c r="S419" s="147">
        <f t="shared" si="626"/>
        <v>0</v>
      </c>
      <c r="T419" s="200" t="str">
        <f t="shared" si="622"/>
        <v>S</v>
      </c>
      <c r="U419" s="214">
        <v>1</v>
      </c>
      <c r="V419" s="214">
        <v>1</v>
      </c>
      <c r="W419" s="214">
        <v>1</v>
      </c>
      <c r="X419" s="214">
        <v>1</v>
      </c>
      <c r="Y419" s="142"/>
      <c r="Z419" s="149">
        <f t="shared" si="613"/>
        <v>408</v>
      </c>
      <c r="AA419" s="150">
        <f t="shared" si="614"/>
        <v>5.1328000000000005</v>
      </c>
      <c r="AE419" s="582">
        <f t="shared" si="615"/>
        <v>0</v>
      </c>
      <c r="AF419" s="582">
        <f t="shared" si="616"/>
        <v>0</v>
      </c>
    </row>
    <row r="420" spans="2:32" ht="18" customHeight="1">
      <c r="B420" s="142" t="s">
        <v>499</v>
      </c>
      <c r="C420" s="221" t="s">
        <v>190</v>
      </c>
      <c r="D420" s="222">
        <v>0</v>
      </c>
      <c r="E420" s="51" t="s">
        <v>543</v>
      </c>
      <c r="F420" s="51" t="s">
        <v>265</v>
      </c>
      <c r="G420" s="63" t="s">
        <v>266</v>
      </c>
      <c r="H420" s="51" t="s">
        <v>378</v>
      </c>
      <c r="I420" s="51">
        <v>1.5</v>
      </c>
      <c r="J420" s="213">
        <v>2255</v>
      </c>
      <c r="K420" s="146">
        <f t="shared" si="617"/>
        <v>255</v>
      </c>
      <c r="L420" s="147">
        <f t="shared" si="618"/>
        <v>4.8120000000000003</v>
      </c>
      <c r="M420" s="147">
        <f t="shared" si="619"/>
        <v>0</v>
      </c>
      <c r="N420" s="147">
        <f t="shared" si="620"/>
        <v>0</v>
      </c>
      <c r="O420" s="147">
        <f t="shared" si="621"/>
        <v>0</v>
      </c>
      <c r="P420" s="148">
        <f t="shared" si="623"/>
        <v>3.2080000000000002</v>
      </c>
      <c r="Q420" s="147">
        <f t="shared" si="624"/>
        <v>0</v>
      </c>
      <c r="R420" s="147">
        <f t="shared" si="625"/>
        <v>0</v>
      </c>
      <c r="S420" s="147">
        <f t="shared" si="626"/>
        <v>0</v>
      </c>
      <c r="T420" s="200" t="str">
        <f t="shared" si="622"/>
        <v>S</v>
      </c>
      <c r="U420" s="214">
        <v>1</v>
      </c>
      <c r="V420" s="214">
        <v>1</v>
      </c>
      <c r="W420" s="214">
        <v>1</v>
      </c>
      <c r="X420" s="214">
        <v>1</v>
      </c>
      <c r="Y420" s="142"/>
      <c r="Z420" s="149">
        <f t="shared" si="613"/>
        <v>382.5</v>
      </c>
      <c r="AA420" s="150">
        <f t="shared" si="614"/>
        <v>4.8120000000000003</v>
      </c>
      <c r="AE420" s="582">
        <f t="shared" si="615"/>
        <v>0</v>
      </c>
      <c r="AF420" s="582">
        <f t="shared" si="616"/>
        <v>0</v>
      </c>
    </row>
    <row r="421" spans="2:32" ht="18" customHeight="1">
      <c r="B421" s="142" t="s">
        <v>499</v>
      </c>
      <c r="C421" s="221" t="s">
        <v>190</v>
      </c>
      <c r="D421" s="222">
        <v>0</v>
      </c>
      <c r="E421" s="51" t="s">
        <v>544</v>
      </c>
      <c r="F421" s="51" t="s">
        <v>144</v>
      </c>
      <c r="G421" s="63" t="s">
        <v>271</v>
      </c>
      <c r="H421" s="51" t="s">
        <v>76</v>
      </c>
      <c r="I421" s="51">
        <v>8.3000000000000007</v>
      </c>
      <c r="J421" s="213">
        <v>8255</v>
      </c>
      <c r="K421" s="146">
        <f t="shared" si="617"/>
        <v>255</v>
      </c>
      <c r="L421" s="147">
        <f t="shared" si="618"/>
        <v>16.600000000000001</v>
      </c>
      <c r="M421" s="147">
        <f t="shared" si="619"/>
        <v>0</v>
      </c>
      <c r="N421" s="147">
        <f t="shared" si="620"/>
        <v>0</v>
      </c>
      <c r="O421" s="147">
        <f t="shared" si="621"/>
        <v>0</v>
      </c>
      <c r="P421" s="148">
        <f t="shared" si="623"/>
        <v>2</v>
      </c>
      <c r="Q421" s="147">
        <f t="shared" si="624"/>
        <v>0</v>
      </c>
      <c r="R421" s="147">
        <f t="shared" si="625"/>
        <v>0</v>
      </c>
      <c r="S421" s="147">
        <f t="shared" si="626"/>
        <v>0</v>
      </c>
      <c r="T421" s="200" t="str">
        <f t="shared" si="622"/>
        <v>V</v>
      </c>
      <c r="U421" s="214">
        <v>1</v>
      </c>
      <c r="V421" s="214">
        <v>1</v>
      </c>
      <c r="W421" s="214">
        <v>1</v>
      </c>
      <c r="X421" s="214">
        <v>1</v>
      </c>
      <c r="Y421" s="142"/>
      <c r="Z421" s="149">
        <f t="shared" si="613"/>
        <v>2116.5</v>
      </c>
      <c r="AA421" s="150">
        <f t="shared" si="614"/>
        <v>16.600000000000001</v>
      </c>
      <c r="AE421" s="582">
        <f t="shared" si="615"/>
        <v>0</v>
      </c>
      <c r="AF421" s="582">
        <f t="shared" si="616"/>
        <v>8.3000000000000007</v>
      </c>
    </row>
    <row r="422" spans="2:32" ht="18" customHeight="1">
      <c r="B422" s="142" t="s">
        <v>499</v>
      </c>
      <c r="C422" s="221" t="s">
        <v>190</v>
      </c>
      <c r="D422" s="222">
        <v>0</v>
      </c>
      <c r="E422" s="51" t="s">
        <v>545</v>
      </c>
      <c r="F422" s="51" t="s">
        <v>281</v>
      </c>
      <c r="G422" s="63" t="s">
        <v>271</v>
      </c>
      <c r="H422" s="51" t="s">
        <v>76</v>
      </c>
      <c r="I422" s="51">
        <v>3.3</v>
      </c>
      <c r="J422" s="213">
        <v>5255</v>
      </c>
      <c r="K422" s="146">
        <f t="shared" si="617"/>
        <v>255</v>
      </c>
      <c r="L422" s="147">
        <f t="shared" si="618"/>
        <v>2.5838999999999999</v>
      </c>
      <c r="M422" s="147">
        <f t="shared" si="619"/>
        <v>0</v>
      </c>
      <c r="N422" s="147">
        <f t="shared" si="620"/>
        <v>0</v>
      </c>
      <c r="O422" s="147">
        <f t="shared" si="621"/>
        <v>0</v>
      </c>
      <c r="P422" s="148">
        <f t="shared" si="623"/>
        <v>0.78300000000000003</v>
      </c>
      <c r="Q422" s="147">
        <f t="shared" si="624"/>
        <v>0</v>
      </c>
      <c r="R422" s="147">
        <f t="shared" si="625"/>
        <v>0</v>
      </c>
      <c r="S422" s="147">
        <f t="shared" si="626"/>
        <v>0</v>
      </c>
      <c r="T422" s="200" t="str">
        <f t="shared" si="622"/>
        <v>V</v>
      </c>
      <c r="U422" s="214">
        <v>1</v>
      </c>
      <c r="V422" s="214">
        <v>1</v>
      </c>
      <c r="W422" s="214">
        <v>1</v>
      </c>
      <c r="X422" s="214">
        <v>1</v>
      </c>
      <c r="Y422" s="142"/>
      <c r="Z422" s="149">
        <f t="shared" si="613"/>
        <v>841.5</v>
      </c>
      <c r="AA422" s="150">
        <f t="shared" si="614"/>
        <v>2.5838999999999999</v>
      </c>
      <c r="AE422" s="582">
        <f t="shared" si="615"/>
        <v>0</v>
      </c>
      <c r="AF422" s="582">
        <f t="shared" si="616"/>
        <v>3.3</v>
      </c>
    </row>
    <row r="423" spans="2:32" ht="18" customHeight="1">
      <c r="B423" s="142" t="s">
        <v>499</v>
      </c>
      <c r="C423" s="221" t="s">
        <v>190</v>
      </c>
      <c r="D423" s="222">
        <v>0</v>
      </c>
      <c r="E423" s="51" t="s">
        <v>546</v>
      </c>
      <c r="F423" s="51" t="s">
        <v>265</v>
      </c>
      <c r="G423" s="63" t="s">
        <v>266</v>
      </c>
      <c r="H423" s="51" t="s">
        <v>378</v>
      </c>
      <c r="I423" s="51">
        <v>2.1</v>
      </c>
      <c r="J423" s="213">
        <v>2255</v>
      </c>
      <c r="K423" s="146">
        <f t="shared" si="617"/>
        <v>255</v>
      </c>
      <c r="L423" s="147">
        <f t="shared" si="618"/>
        <v>6.7368000000000006</v>
      </c>
      <c r="M423" s="147">
        <f t="shared" si="619"/>
        <v>0</v>
      </c>
      <c r="N423" s="147">
        <f t="shared" si="620"/>
        <v>0</v>
      </c>
      <c r="O423" s="147">
        <f t="shared" si="621"/>
        <v>0</v>
      </c>
      <c r="P423" s="148">
        <f t="shared" si="623"/>
        <v>3.2080000000000002</v>
      </c>
      <c r="Q423" s="147">
        <f t="shared" si="624"/>
        <v>0</v>
      </c>
      <c r="R423" s="147">
        <f t="shared" si="625"/>
        <v>0</v>
      </c>
      <c r="S423" s="147">
        <f t="shared" si="626"/>
        <v>0</v>
      </c>
      <c r="T423" s="200" t="str">
        <f t="shared" si="622"/>
        <v>S</v>
      </c>
      <c r="U423" s="214">
        <v>1</v>
      </c>
      <c r="V423" s="214">
        <v>1</v>
      </c>
      <c r="W423" s="214">
        <v>1</v>
      </c>
      <c r="X423" s="214">
        <v>1</v>
      </c>
      <c r="Y423" s="142"/>
      <c r="Z423" s="149">
        <f t="shared" si="613"/>
        <v>535.5</v>
      </c>
      <c r="AA423" s="150">
        <f t="shared" si="614"/>
        <v>6.7368000000000006</v>
      </c>
      <c r="AE423" s="582">
        <f t="shared" si="615"/>
        <v>0</v>
      </c>
      <c r="AF423" s="582">
        <f t="shared" si="616"/>
        <v>0</v>
      </c>
    </row>
    <row r="424" spans="2:32" ht="18" customHeight="1">
      <c r="B424" s="142" t="s">
        <v>499</v>
      </c>
      <c r="C424" s="221" t="s">
        <v>190</v>
      </c>
      <c r="D424" s="222">
        <v>0</v>
      </c>
      <c r="E424" s="51" t="s">
        <v>547</v>
      </c>
      <c r="F424" s="51" t="s">
        <v>501</v>
      </c>
      <c r="G424" s="63" t="s">
        <v>271</v>
      </c>
      <c r="H424" s="51" t="s">
        <v>76</v>
      </c>
      <c r="I424" s="51">
        <v>3.3</v>
      </c>
      <c r="J424" s="213">
        <v>5255</v>
      </c>
      <c r="K424" s="146">
        <f t="shared" si="617"/>
        <v>255</v>
      </c>
      <c r="L424" s="147">
        <f t="shared" si="618"/>
        <v>2.5838999999999999</v>
      </c>
      <c r="M424" s="147">
        <f t="shared" si="619"/>
        <v>0</v>
      </c>
      <c r="N424" s="147">
        <f t="shared" si="620"/>
        <v>0</v>
      </c>
      <c r="O424" s="147">
        <f t="shared" si="621"/>
        <v>0</v>
      </c>
      <c r="P424" s="148">
        <f t="shared" si="623"/>
        <v>0.78300000000000003</v>
      </c>
      <c r="Q424" s="147">
        <f t="shared" si="624"/>
        <v>0</v>
      </c>
      <c r="R424" s="147">
        <f t="shared" si="625"/>
        <v>0</v>
      </c>
      <c r="S424" s="147">
        <f t="shared" si="626"/>
        <v>0</v>
      </c>
      <c r="T424" s="200" t="str">
        <f t="shared" si="622"/>
        <v>V</v>
      </c>
      <c r="U424" s="214">
        <v>1</v>
      </c>
      <c r="V424" s="214">
        <v>1</v>
      </c>
      <c r="W424" s="214">
        <v>1</v>
      </c>
      <c r="X424" s="214">
        <v>1</v>
      </c>
      <c r="Y424" s="142"/>
      <c r="Z424" s="149">
        <f t="shared" si="613"/>
        <v>841.5</v>
      </c>
      <c r="AA424" s="150">
        <f t="shared" si="614"/>
        <v>2.5838999999999999</v>
      </c>
      <c r="AE424" s="582">
        <f t="shared" si="615"/>
        <v>0</v>
      </c>
      <c r="AF424" s="582">
        <f t="shared" si="616"/>
        <v>3.3</v>
      </c>
    </row>
    <row r="425" spans="2:32" ht="18" customHeight="1">
      <c r="B425" s="142" t="s">
        <v>499</v>
      </c>
      <c r="C425" s="221" t="s">
        <v>190</v>
      </c>
      <c r="D425" s="222">
        <v>0</v>
      </c>
      <c r="E425" s="51" t="s">
        <v>548</v>
      </c>
      <c r="F425" s="51" t="s">
        <v>144</v>
      </c>
      <c r="G425" s="63" t="s">
        <v>271</v>
      </c>
      <c r="H425" s="51" t="s">
        <v>76</v>
      </c>
      <c r="I425" s="51">
        <v>8.3000000000000007</v>
      </c>
      <c r="J425" s="213">
        <v>8255</v>
      </c>
      <c r="K425" s="146">
        <f t="shared" si="617"/>
        <v>255</v>
      </c>
      <c r="L425" s="147">
        <f t="shared" si="618"/>
        <v>16.600000000000001</v>
      </c>
      <c r="M425" s="147">
        <f t="shared" si="619"/>
        <v>0</v>
      </c>
      <c r="N425" s="147">
        <f t="shared" si="620"/>
        <v>0</v>
      </c>
      <c r="O425" s="147">
        <f t="shared" si="621"/>
        <v>0</v>
      </c>
      <c r="P425" s="148">
        <f t="shared" si="623"/>
        <v>2</v>
      </c>
      <c r="Q425" s="147">
        <f t="shared" si="624"/>
        <v>0</v>
      </c>
      <c r="R425" s="147">
        <f t="shared" si="625"/>
        <v>0</v>
      </c>
      <c r="S425" s="147">
        <f t="shared" si="626"/>
        <v>0</v>
      </c>
      <c r="T425" s="200" t="str">
        <f t="shared" si="622"/>
        <v>V</v>
      </c>
      <c r="U425" s="214">
        <v>1</v>
      </c>
      <c r="V425" s="214">
        <v>1</v>
      </c>
      <c r="W425" s="214">
        <v>1</v>
      </c>
      <c r="X425" s="214">
        <v>1</v>
      </c>
      <c r="Y425" s="142"/>
      <c r="Z425" s="149">
        <f t="shared" si="613"/>
        <v>2116.5</v>
      </c>
      <c r="AA425" s="150">
        <f t="shared" si="614"/>
        <v>16.600000000000001</v>
      </c>
      <c r="AE425" s="582">
        <f t="shared" si="615"/>
        <v>0</v>
      </c>
      <c r="AF425" s="582">
        <f t="shared" si="616"/>
        <v>8.3000000000000007</v>
      </c>
    </row>
    <row r="426" spans="2:32" ht="18" customHeight="1">
      <c r="B426" s="142" t="s">
        <v>499</v>
      </c>
      <c r="C426" s="221" t="s">
        <v>190</v>
      </c>
      <c r="D426" s="143">
        <v>1</v>
      </c>
      <c r="E426" s="51" t="s">
        <v>549</v>
      </c>
      <c r="F426" s="51" t="s">
        <v>521</v>
      </c>
      <c r="G426" s="63" t="s">
        <v>271</v>
      </c>
      <c r="H426" s="51" t="s">
        <v>76</v>
      </c>
      <c r="I426" s="51">
        <v>1.8</v>
      </c>
      <c r="J426" s="213">
        <v>3255</v>
      </c>
      <c r="K426" s="146">
        <f t="shared" si="617"/>
        <v>255</v>
      </c>
      <c r="L426" s="147">
        <f t="shared" si="618"/>
        <v>0.67320000000000002</v>
      </c>
      <c r="M426" s="147">
        <f t="shared" si="619"/>
        <v>0</v>
      </c>
      <c r="N426" s="147">
        <f t="shared" si="620"/>
        <v>0</v>
      </c>
      <c r="O426" s="147">
        <f t="shared" si="621"/>
        <v>0</v>
      </c>
      <c r="P426" s="148">
        <f t="shared" si="623"/>
        <v>0.374</v>
      </c>
      <c r="Q426" s="147">
        <f t="shared" si="624"/>
        <v>0</v>
      </c>
      <c r="R426" s="147">
        <f t="shared" si="625"/>
        <v>0</v>
      </c>
      <c r="S426" s="147">
        <f t="shared" si="626"/>
        <v>0</v>
      </c>
      <c r="T426" s="200" t="str">
        <f t="shared" si="622"/>
        <v>V</v>
      </c>
      <c r="U426" s="214">
        <v>1</v>
      </c>
      <c r="V426" s="214">
        <v>1</v>
      </c>
      <c r="W426" s="214">
        <v>1</v>
      </c>
      <c r="X426" s="214">
        <v>1</v>
      </c>
      <c r="Y426" s="142"/>
      <c r="Z426" s="149">
        <f t="shared" si="613"/>
        <v>459</v>
      </c>
      <c r="AA426" s="150">
        <f t="shared" si="614"/>
        <v>0.67320000000000002</v>
      </c>
      <c r="AE426" s="582">
        <f t="shared" si="615"/>
        <v>0</v>
      </c>
      <c r="AF426" s="582">
        <f t="shared" si="616"/>
        <v>1.8</v>
      </c>
    </row>
    <row r="427" spans="2:32" ht="18" customHeight="1">
      <c r="B427" s="142" t="s">
        <v>499</v>
      </c>
      <c r="C427" s="221" t="s">
        <v>190</v>
      </c>
      <c r="D427" s="143">
        <v>1</v>
      </c>
      <c r="E427" s="51" t="s">
        <v>550</v>
      </c>
      <c r="F427" s="51" t="s">
        <v>528</v>
      </c>
      <c r="G427" s="63" t="s">
        <v>266</v>
      </c>
      <c r="H427" s="51" t="s">
        <v>378</v>
      </c>
      <c r="I427" s="51">
        <v>8.1999999999999993</v>
      </c>
      <c r="J427" s="213">
        <v>2255</v>
      </c>
      <c r="K427" s="146">
        <f t="shared" si="617"/>
        <v>255</v>
      </c>
      <c r="L427" s="147">
        <f t="shared" si="618"/>
        <v>26.305599999999998</v>
      </c>
      <c r="M427" s="147">
        <f t="shared" si="619"/>
        <v>0</v>
      </c>
      <c r="N427" s="147">
        <f t="shared" si="620"/>
        <v>0</v>
      </c>
      <c r="O427" s="147">
        <f t="shared" si="621"/>
        <v>0</v>
      </c>
      <c r="P427" s="148">
        <f t="shared" si="623"/>
        <v>3.2080000000000002</v>
      </c>
      <c r="Q427" s="147">
        <f t="shared" si="624"/>
        <v>0</v>
      </c>
      <c r="R427" s="147">
        <f t="shared" si="625"/>
        <v>0</v>
      </c>
      <c r="S427" s="147">
        <f t="shared" si="626"/>
        <v>0</v>
      </c>
      <c r="T427" s="200" t="str">
        <f t="shared" si="622"/>
        <v>S</v>
      </c>
      <c r="U427" s="214">
        <v>1</v>
      </c>
      <c r="V427" s="214">
        <v>1</v>
      </c>
      <c r="W427" s="214">
        <v>1</v>
      </c>
      <c r="X427" s="214">
        <v>1</v>
      </c>
      <c r="Y427" s="142"/>
      <c r="Z427" s="149">
        <f t="shared" si="613"/>
        <v>2091</v>
      </c>
      <c r="AA427" s="150">
        <f t="shared" si="614"/>
        <v>26.305599999999998</v>
      </c>
      <c r="AE427" s="582">
        <f t="shared" si="615"/>
        <v>0</v>
      </c>
      <c r="AF427" s="582">
        <f t="shared" si="616"/>
        <v>0</v>
      </c>
    </row>
    <row r="428" spans="2:32" ht="18" customHeight="1">
      <c r="B428" s="142" t="s">
        <v>499</v>
      </c>
      <c r="C428" s="221" t="s">
        <v>190</v>
      </c>
      <c r="D428" s="143">
        <v>1</v>
      </c>
      <c r="E428" s="51" t="s">
        <v>551</v>
      </c>
      <c r="F428" s="51" t="s">
        <v>521</v>
      </c>
      <c r="G428" s="63" t="s">
        <v>271</v>
      </c>
      <c r="H428" s="51" t="s">
        <v>76</v>
      </c>
      <c r="I428" s="51">
        <v>2.7</v>
      </c>
      <c r="J428" s="213">
        <v>3255</v>
      </c>
      <c r="K428" s="146">
        <f t="shared" si="617"/>
        <v>255</v>
      </c>
      <c r="L428" s="147">
        <f t="shared" si="618"/>
        <v>1.0098</v>
      </c>
      <c r="M428" s="147">
        <f t="shared" si="619"/>
        <v>0</v>
      </c>
      <c r="N428" s="147">
        <f t="shared" si="620"/>
        <v>0</v>
      </c>
      <c r="O428" s="147">
        <f t="shared" si="621"/>
        <v>0</v>
      </c>
      <c r="P428" s="148">
        <f t="shared" si="623"/>
        <v>0.374</v>
      </c>
      <c r="Q428" s="147">
        <f t="shared" si="624"/>
        <v>0</v>
      </c>
      <c r="R428" s="147">
        <f t="shared" si="625"/>
        <v>0</v>
      </c>
      <c r="S428" s="147">
        <f t="shared" si="626"/>
        <v>0</v>
      </c>
      <c r="T428" s="200" t="str">
        <f t="shared" si="622"/>
        <v>V</v>
      </c>
      <c r="U428" s="214">
        <v>1</v>
      </c>
      <c r="V428" s="214">
        <v>1</v>
      </c>
      <c r="W428" s="214">
        <v>1</v>
      </c>
      <c r="X428" s="214">
        <v>1</v>
      </c>
      <c r="Y428" s="142"/>
      <c r="Z428" s="149">
        <f t="shared" si="613"/>
        <v>688.5</v>
      </c>
      <c r="AA428" s="150">
        <f t="shared" si="614"/>
        <v>1.0098</v>
      </c>
      <c r="AE428" s="582">
        <f t="shared" si="615"/>
        <v>0</v>
      </c>
      <c r="AF428" s="582">
        <f t="shared" si="616"/>
        <v>2.7</v>
      </c>
    </row>
    <row r="429" spans="2:32" ht="18" customHeight="1">
      <c r="B429" s="142" t="s">
        <v>499</v>
      </c>
      <c r="C429" s="221" t="s">
        <v>190</v>
      </c>
      <c r="D429" s="222">
        <v>0</v>
      </c>
      <c r="E429" s="51" t="s">
        <v>512</v>
      </c>
      <c r="F429" s="51" t="s">
        <v>353</v>
      </c>
      <c r="G429" s="63" t="s">
        <v>271</v>
      </c>
      <c r="H429" s="51" t="s">
        <v>523</v>
      </c>
      <c r="I429" s="51">
        <v>115</v>
      </c>
      <c r="J429" s="213">
        <v>3255</v>
      </c>
      <c r="K429" s="146">
        <f t="shared" ref="K429:K433" si="627">SUM(IF(J429="",0,VLOOKUP(J429,Kengetal,2)))</f>
        <v>255</v>
      </c>
      <c r="L429" s="147">
        <f t="shared" ref="L429:L433" si="628">P429*I429*U429</f>
        <v>43.01</v>
      </c>
      <c r="M429" s="147">
        <f t="shared" ref="M429:M433" si="629">Q429*I429*V429</f>
        <v>0</v>
      </c>
      <c r="N429" s="147">
        <f t="shared" ref="N429:N433" si="630">R429*I429*W429</f>
        <v>0</v>
      </c>
      <c r="O429" s="147">
        <f t="shared" ref="O429:O433" si="631">S429*I429*X429</f>
        <v>0</v>
      </c>
      <c r="P429" s="148">
        <f t="shared" si="623"/>
        <v>0.374</v>
      </c>
      <c r="Q429" s="147">
        <f t="shared" si="624"/>
        <v>0</v>
      </c>
      <c r="R429" s="147">
        <f t="shared" si="625"/>
        <v>0</v>
      </c>
      <c r="S429" s="147">
        <f t="shared" si="626"/>
        <v>0</v>
      </c>
      <c r="T429" s="200" t="str">
        <f t="shared" ref="T429:T433" si="632">IF(J429="","",VLOOKUP(J429,Kengetal,13,FALSE))</f>
        <v>V</v>
      </c>
      <c r="U429" s="214">
        <v>1</v>
      </c>
      <c r="V429" s="214">
        <v>1</v>
      </c>
      <c r="W429" s="214">
        <v>1</v>
      </c>
      <c r="X429" s="214">
        <v>1</v>
      </c>
      <c r="Y429" s="142"/>
      <c r="Z429" s="149">
        <f t="shared" ref="Z429:Z433" si="633">I429*K429</f>
        <v>29325</v>
      </c>
      <c r="AA429" s="150">
        <f t="shared" ref="AA429:AA433" si="634">L429+M429+N429+O429</f>
        <v>43.01</v>
      </c>
      <c r="AE429" s="582">
        <f t="shared" ref="AE429:AE433" si="635">SUMIF(H429,"Linoleum",I429)</f>
        <v>0</v>
      </c>
      <c r="AF429" s="582">
        <f t="shared" ref="AF429:AF433" si="636">SUMIF(H429,"Tapijt",I429)</f>
        <v>0</v>
      </c>
    </row>
    <row r="430" spans="2:32" ht="18" customHeight="1">
      <c r="B430" s="142" t="s">
        <v>499</v>
      </c>
      <c r="C430" s="221" t="s">
        <v>190</v>
      </c>
      <c r="D430" s="222">
        <v>0</v>
      </c>
      <c r="E430" s="51" t="s">
        <v>505</v>
      </c>
      <c r="F430" s="51" t="s">
        <v>265</v>
      </c>
      <c r="G430" s="63" t="s">
        <v>266</v>
      </c>
      <c r="H430" s="51" t="s">
        <v>523</v>
      </c>
      <c r="I430" s="51">
        <v>16</v>
      </c>
      <c r="J430" s="213">
        <v>2255</v>
      </c>
      <c r="K430" s="146">
        <f t="shared" si="627"/>
        <v>255</v>
      </c>
      <c r="L430" s="147">
        <f t="shared" si="628"/>
        <v>51.328000000000003</v>
      </c>
      <c r="M430" s="147">
        <f t="shared" si="629"/>
        <v>0</v>
      </c>
      <c r="N430" s="147">
        <f t="shared" si="630"/>
        <v>0</v>
      </c>
      <c r="O430" s="147">
        <f t="shared" si="631"/>
        <v>0</v>
      </c>
      <c r="P430" s="148">
        <f t="shared" si="623"/>
        <v>3.2080000000000002</v>
      </c>
      <c r="Q430" s="147">
        <f t="shared" si="624"/>
        <v>0</v>
      </c>
      <c r="R430" s="147">
        <f t="shared" si="625"/>
        <v>0</v>
      </c>
      <c r="S430" s="147">
        <f t="shared" si="626"/>
        <v>0</v>
      </c>
      <c r="T430" s="200" t="str">
        <f t="shared" si="632"/>
        <v>S</v>
      </c>
      <c r="U430" s="214">
        <v>1</v>
      </c>
      <c r="V430" s="214">
        <v>1</v>
      </c>
      <c r="W430" s="214">
        <v>1</v>
      </c>
      <c r="X430" s="214">
        <v>1</v>
      </c>
      <c r="Y430" s="142"/>
      <c r="Z430" s="149">
        <f t="shared" si="633"/>
        <v>4080</v>
      </c>
      <c r="AA430" s="150">
        <f t="shared" si="634"/>
        <v>51.328000000000003</v>
      </c>
      <c r="AE430" s="582">
        <f t="shared" si="635"/>
        <v>0</v>
      </c>
      <c r="AF430" s="582">
        <f t="shared" si="636"/>
        <v>0</v>
      </c>
    </row>
    <row r="431" spans="2:32" ht="18" customHeight="1">
      <c r="B431" s="142" t="s">
        <v>499</v>
      </c>
      <c r="C431" s="221" t="s">
        <v>190</v>
      </c>
      <c r="D431" s="222">
        <v>0</v>
      </c>
      <c r="E431" s="51" t="s">
        <v>552</v>
      </c>
      <c r="F431" s="51" t="s">
        <v>265</v>
      </c>
      <c r="G431" s="63" t="s">
        <v>266</v>
      </c>
      <c r="H431" s="51" t="s">
        <v>523</v>
      </c>
      <c r="I431" s="51">
        <v>16</v>
      </c>
      <c r="J431" s="213">
        <v>2255</v>
      </c>
      <c r="K431" s="146">
        <f t="shared" si="627"/>
        <v>255</v>
      </c>
      <c r="L431" s="147">
        <f t="shared" si="628"/>
        <v>51.328000000000003</v>
      </c>
      <c r="M431" s="147">
        <f t="shared" si="629"/>
        <v>0</v>
      </c>
      <c r="N431" s="147">
        <f t="shared" si="630"/>
        <v>0</v>
      </c>
      <c r="O431" s="147">
        <f t="shared" si="631"/>
        <v>0</v>
      </c>
      <c r="P431" s="148">
        <f t="shared" si="623"/>
        <v>3.2080000000000002</v>
      </c>
      <c r="Q431" s="147">
        <f t="shared" si="624"/>
        <v>0</v>
      </c>
      <c r="R431" s="147">
        <f t="shared" si="625"/>
        <v>0</v>
      </c>
      <c r="S431" s="147">
        <f t="shared" si="626"/>
        <v>0</v>
      </c>
      <c r="T431" s="200" t="str">
        <f t="shared" si="632"/>
        <v>S</v>
      </c>
      <c r="U431" s="214">
        <v>1</v>
      </c>
      <c r="V431" s="214">
        <v>1</v>
      </c>
      <c r="W431" s="214">
        <v>1</v>
      </c>
      <c r="X431" s="214">
        <v>1</v>
      </c>
      <c r="Y431" s="142"/>
      <c r="Z431" s="149">
        <f t="shared" si="633"/>
        <v>4080</v>
      </c>
      <c r="AA431" s="150">
        <f t="shared" si="634"/>
        <v>51.328000000000003</v>
      </c>
      <c r="AE431" s="582">
        <f t="shared" si="635"/>
        <v>0</v>
      </c>
      <c r="AF431" s="582">
        <f t="shared" si="636"/>
        <v>0</v>
      </c>
    </row>
    <row r="432" spans="2:32" ht="18" customHeight="1">
      <c r="B432" s="142" t="s">
        <v>499</v>
      </c>
      <c r="C432" s="221" t="s">
        <v>190</v>
      </c>
      <c r="D432" s="222">
        <v>0</v>
      </c>
      <c r="E432" s="51" t="s">
        <v>553</v>
      </c>
      <c r="F432" s="51" t="s">
        <v>265</v>
      </c>
      <c r="G432" s="63" t="s">
        <v>266</v>
      </c>
      <c r="H432" s="51" t="s">
        <v>523</v>
      </c>
      <c r="I432" s="51">
        <v>16</v>
      </c>
      <c r="J432" s="213">
        <v>2255</v>
      </c>
      <c r="K432" s="146">
        <f t="shared" si="627"/>
        <v>255</v>
      </c>
      <c r="L432" s="147">
        <f t="shared" si="628"/>
        <v>51.328000000000003</v>
      </c>
      <c r="M432" s="147">
        <f t="shared" si="629"/>
        <v>0</v>
      </c>
      <c r="N432" s="147">
        <f t="shared" si="630"/>
        <v>0</v>
      </c>
      <c r="O432" s="147">
        <f t="shared" si="631"/>
        <v>0</v>
      </c>
      <c r="P432" s="148">
        <f t="shared" si="623"/>
        <v>3.2080000000000002</v>
      </c>
      <c r="Q432" s="147">
        <f t="shared" si="624"/>
        <v>0</v>
      </c>
      <c r="R432" s="147">
        <f t="shared" si="625"/>
        <v>0</v>
      </c>
      <c r="S432" s="147">
        <f t="shared" si="626"/>
        <v>0</v>
      </c>
      <c r="T432" s="200" t="str">
        <f t="shared" si="632"/>
        <v>S</v>
      </c>
      <c r="U432" s="214">
        <v>1</v>
      </c>
      <c r="V432" s="214">
        <v>1</v>
      </c>
      <c r="W432" s="214">
        <v>1</v>
      </c>
      <c r="X432" s="214">
        <v>1</v>
      </c>
      <c r="Y432" s="142"/>
      <c r="Z432" s="149">
        <f t="shared" si="633"/>
        <v>4080</v>
      </c>
      <c r="AA432" s="150">
        <f t="shared" si="634"/>
        <v>51.328000000000003</v>
      </c>
      <c r="AE432" s="582">
        <f t="shared" si="635"/>
        <v>0</v>
      </c>
      <c r="AF432" s="582">
        <f t="shared" si="636"/>
        <v>0</v>
      </c>
    </row>
    <row r="433" spans="2:32" ht="18" customHeight="1">
      <c r="B433" s="142" t="s">
        <v>499</v>
      </c>
      <c r="C433" s="221" t="s">
        <v>190</v>
      </c>
      <c r="D433" s="222">
        <v>0</v>
      </c>
      <c r="E433" s="51" t="s">
        <v>554</v>
      </c>
      <c r="F433" s="51" t="s">
        <v>555</v>
      </c>
      <c r="G433" s="63" t="s">
        <v>271</v>
      </c>
      <c r="H433" s="51" t="s">
        <v>523</v>
      </c>
      <c r="I433" s="51">
        <v>16</v>
      </c>
      <c r="J433" s="213">
        <v>3255</v>
      </c>
      <c r="K433" s="146">
        <f t="shared" si="627"/>
        <v>255</v>
      </c>
      <c r="L433" s="147">
        <f t="shared" si="628"/>
        <v>5.984</v>
      </c>
      <c r="M433" s="147">
        <f t="shared" si="629"/>
        <v>0</v>
      </c>
      <c r="N433" s="147">
        <f t="shared" si="630"/>
        <v>0</v>
      </c>
      <c r="O433" s="147">
        <f t="shared" si="631"/>
        <v>0</v>
      </c>
      <c r="P433" s="148">
        <f t="shared" si="623"/>
        <v>0.374</v>
      </c>
      <c r="Q433" s="147">
        <f t="shared" si="624"/>
        <v>0</v>
      </c>
      <c r="R433" s="147">
        <f t="shared" si="625"/>
        <v>0</v>
      </c>
      <c r="S433" s="147">
        <f t="shared" si="626"/>
        <v>0</v>
      </c>
      <c r="T433" s="200" t="str">
        <f t="shared" si="632"/>
        <v>V</v>
      </c>
      <c r="U433" s="214">
        <v>1</v>
      </c>
      <c r="V433" s="214">
        <v>1</v>
      </c>
      <c r="W433" s="214">
        <v>1</v>
      </c>
      <c r="X433" s="214">
        <v>1</v>
      </c>
      <c r="Y433" s="142"/>
      <c r="Z433" s="149">
        <f t="shared" si="633"/>
        <v>4080</v>
      </c>
      <c r="AA433" s="150">
        <f t="shared" si="634"/>
        <v>5.984</v>
      </c>
      <c r="AE433" s="582">
        <f t="shared" si="635"/>
        <v>0</v>
      </c>
      <c r="AF433" s="582">
        <f t="shared" si="636"/>
        <v>0</v>
      </c>
    </row>
    <row r="434" spans="2:32" ht="18" customHeight="1">
      <c r="B434" s="142" t="s">
        <v>556</v>
      </c>
      <c r="C434" s="221" t="s">
        <v>191</v>
      </c>
      <c r="D434" s="222">
        <v>0</v>
      </c>
      <c r="E434" s="51" t="s">
        <v>500</v>
      </c>
      <c r="F434" s="51" t="s">
        <v>144</v>
      </c>
      <c r="G434" s="63" t="s">
        <v>271</v>
      </c>
      <c r="H434" s="51" t="s">
        <v>557</v>
      </c>
      <c r="I434" s="51">
        <v>10.6</v>
      </c>
      <c r="J434" s="213">
        <v>8255</v>
      </c>
      <c r="K434" s="146">
        <f t="shared" si="617"/>
        <v>255</v>
      </c>
      <c r="L434" s="147">
        <f t="shared" si="618"/>
        <v>21.2</v>
      </c>
      <c r="M434" s="147">
        <f t="shared" si="619"/>
        <v>0</v>
      </c>
      <c r="N434" s="147">
        <f t="shared" si="620"/>
        <v>0</v>
      </c>
      <c r="O434" s="147">
        <f t="shared" si="621"/>
        <v>0</v>
      </c>
      <c r="P434" s="148">
        <f t="shared" si="623"/>
        <v>2</v>
      </c>
      <c r="Q434" s="147">
        <f t="shared" si="624"/>
        <v>0</v>
      </c>
      <c r="R434" s="147">
        <f t="shared" si="625"/>
        <v>0</v>
      </c>
      <c r="S434" s="147">
        <f t="shared" si="626"/>
        <v>0</v>
      </c>
      <c r="T434" s="200" t="str">
        <f t="shared" si="622"/>
        <v>V</v>
      </c>
      <c r="U434" s="214">
        <v>1</v>
      </c>
      <c r="V434" s="214">
        <v>1</v>
      </c>
      <c r="W434" s="214">
        <v>1</v>
      </c>
      <c r="X434" s="214">
        <v>1</v>
      </c>
      <c r="Y434" s="142"/>
      <c r="Z434" s="149">
        <f t="shared" si="613"/>
        <v>2703</v>
      </c>
      <c r="AA434" s="150">
        <f t="shared" si="614"/>
        <v>21.2</v>
      </c>
      <c r="AE434" s="582">
        <f t="shared" si="615"/>
        <v>0</v>
      </c>
      <c r="AF434" s="582">
        <f t="shared" si="616"/>
        <v>0</v>
      </c>
    </row>
    <row r="435" spans="2:32" ht="18" customHeight="1">
      <c r="B435" s="142" t="s">
        <v>556</v>
      </c>
      <c r="C435" s="221" t="s">
        <v>191</v>
      </c>
      <c r="D435" s="222">
        <v>0</v>
      </c>
      <c r="E435" s="51" t="s">
        <v>503</v>
      </c>
      <c r="F435" s="51" t="s">
        <v>558</v>
      </c>
      <c r="G435" s="63" t="s">
        <v>271</v>
      </c>
      <c r="H435" s="51" t="s">
        <v>557</v>
      </c>
      <c r="I435" s="51">
        <v>39</v>
      </c>
      <c r="J435" s="213">
        <v>18255</v>
      </c>
      <c r="K435" s="146">
        <f t="shared" si="617"/>
        <v>255</v>
      </c>
      <c r="L435" s="147">
        <f t="shared" si="618"/>
        <v>22.385999999999999</v>
      </c>
      <c r="M435" s="147">
        <f t="shared" si="619"/>
        <v>0</v>
      </c>
      <c r="N435" s="147">
        <f t="shared" si="620"/>
        <v>0</v>
      </c>
      <c r="O435" s="147">
        <f t="shared" si="621"/>
        <v>0</v>
      </c>
      <c r="P435" s="148">
        <f t="shared" si="623"/>
        <v>0.57399999999999995</v>
      </c>
      <c r="Q435" s="147">
        <f t="shared" si="624"/>
        <v>0</v>
      </c>
      <c r="R435" s="147">
        <f t="shared" si="625"/>
        <v>0</v>
      </c>
      <c r="S435" s="147">
        <f t="shared" si="626"/>
        <v>0</v>
      </c>
      <c r="T435" s="200" t="str">
        <f t="shared" si="622"/>
        <v>V</v>
      </c>
      <c r="U435" s="214">
        <v>1</v>
      </c>
      <c r="V435" s="214">
        <v>1</v>
      </c>
      <c r="W435" s="214">
        <v>1</v>
      </c>
      <c r="X435" s="214">
        <v>1</v>
      </c>
      <c r="Y435" s="142"/>
      <c r="Z435" s="149">
        <f t="shared" si="613"/>
        <v>9945</v>
      </c>
      <c r="AA435" s="150">
        <f t="shared" si="614"/>
        <v>22.385999999999999</v>
      </c>
      <c r="AE435" s="582">
        <f t="shared" si="615"/>
        <v>0</v>
      </c>
      <c r="AF435" s="582">
        <f t="shared" si="616"/>
        <v>0</v>
      </c>
    </row>
    <row r="436" spans="2:32" ht="18" customHeight="1">
      <c r="B436" s="142" t="s">
        <v>556</v>
      </c>
      <c r="C436" s="221" t="s">
        <v>191</v>
      </c>
      <c r="D436" s="222">
        <v>0</v>
      </c>
      <c r="E436" s="51" t="s">
        <v>504</v>
      </c>
      <c r="F436" s="51" t="s">
        <v>262</v>
      </c>
      <c r="G436" s="63" t="s">
        <v>263</v>
      </c>
      <c r="H436" s="51" t="s">
        <v>557</v>
      </c>
      <c r="I436" s="51">
        <v>38</v>
      </c>
      <c r="J436" s="213">
        <v>1255</v>
      </c>
      <c r="K436" s="146">
        <f t="shared" si="617"/>
        <v>255</v>
      </c>
      <c r="L436" s="147">
        <f t="shared" si="618"/>
        <v>20.520000000000003</v>
      </c>
      <c r="M436" s="147">
        <f t="shared" si="619"/>
        <v>0</v>
      </c>
      <c r="N436" s="147">
        <f t="shared" si="620"/>
        <v>0</v>
      </c>
      <c r="O436" s="147">
        <f t="shared" si="621"/>
        <v>0</v>
      </c>
      <c r="P436" s="148">
        <f t="shared" si="623"/>
        <v>0.54</v>
      </c>
      <c r="Q436" s="147">
        <f t="shared" si="624"/>
        <v>0</v>
      </c>
      <c r="R436" s="147">
        <f t="shared" si="625"/>
        <v>0</v>
      </c>
      <c r="S436" s="147">
        <f t="shared" si="626"/>
        <v>0</v>
      </c>
      <c r="T436" s="200" t="str">
        <f t="shared" si="622"/>
        <v>B</v>
      </c>
      <c r="U436" s="214">
        <v>1</v>
      </c>
      <c r="V436" s="214">
        <v>1</v>
      </c>
      <c r="W436" s="214">
        <v>1</v>
      </c>
      <c r="X436" s="214">
        <v>1</v>
      </c>
      <c r="Y436" s="142"/>
      <c r="Z436" s="149">
        <f t="shared" si="613"/>
        <v>9690</v>
      </c>
      <c r="AA436" s="150">
        <f t="shared" si="614"/>
        <v>20.520000000000003</v>
      </c>
      <c r="AE436" s="582">
        <f t="shared" si="615"/>
        <v>0</v>
      </c>
      <c r="AF436" s="582">
        <f t="shared" si="616"/>
        <v>0</v>
      </c>
    </row>
    <row r="437" spans="2:32" ht="18" customHeight="1">
      <c r="B437" s="142" t="s">
        <v>556</v>
      </c>
      <c r="C437" s="221" t="s">
        <v>191</v>
      </c>
      <c r="D437" s="222">
        <v>0</v>
      </c>
      <c r="E437" s="51" t="s">
        <v>505</v>
      </c>
      <c r="F437" s="51" t="s">
        <v>353</v>
      </c>
      <c r="G437" s="63" t="s">
        <v>271</v>
      </c>
      <c r="H437" s="51" t="s">
        <v>557</v>
      </c>
      <c r="I437" s="51">
        <v>14.1</v>
      </c>
      <c r="J437" s="213">
        <v>3255</v>
      </c>
      <c r="K437" s="146">
        <f t="shared" si="617"/>
        <v>255</v>
      </c>
      <c r="L437" s="147">
        <f t="shared" si="618"/>
        <v>5.2733999999999996</v>
      </c>
      <c r="M437" s="147">
        <f t="shared" si="619"/>
        <v>0</v>
      </c>
      <c r="N437" s="147">
        <f t="shared" si="620"/>
        <v>0</v>
      </c>
      <c r="O437" s="147">
        <f t="shared" si="621"/>
        <v>0</v>
      </c>
      <c r="P437" s="148">
        <f t="shared" si="623"/>
        <v>0.374</v>
      </c>
      <c r="Q437" s="147">
        <f t="shared" si="624"/>
        <v>0</v>
      </c>
      <c r="R437" s="147">
        <f t="shared" si="625"/>
        <v>0</v>
      </c>
      <c r="S437" s="147">
        <f t="shared" si="626"/>
        <v>0</v>
      </c>
      <c r="T437" s="200" t="str">
        <f t="shared" si="622"/>
        <v>V</v>
      </c>
      <c r="U437" s="214">
        <v>1</v>
      </c>
      <c r="V437" s="214">
        <v>1</v>
      </c>
      <c r="W437" s="214">
        <v>1</v>
      </c>
      <c r="X437" s="214">
        <v>1</v>
      </c>
      <c r="Y437" s="142"/>
      <c r="Z437" s="149">
        <f t="shared" si="613"/>
        <v>3595.5</v>
      </c>
      <c r="AA437" s="150">
        <f t="shared" si="614"/>
        <v>5.2733999999999996</v>
      </c>
      <c r="AE437" s="582">
        <f t="shared" si="615"/>
        <v>0</v>
      </c>
      <c r="AF437" s="582">
        <f t="shared" si="616"/>
        <v>0</v>
      </c>
    </row>
    <row r="438" spans="2:32" ht="18" customHeight="1">
      <c r="B438" s="142" t="s">
        <v>556</v>
      </c>
      <c r="C438" s="221" t="s">
        <v>191</v>
      </c>
      <c r="D438" s="222">
        <v>0</v>
      </c>
      <c r="E438" s="51" t="s">
        <v>506</v>
      </c>
      <c r="F438" s="51" t="s">
        <v>527</v>
      </c>
      <c r="G438" s="63" t="s">
        <v>271</v>
      </c>
      <c r="H438" s="51" t="s">
        <v>557</v>
      </c>
      <c r="I438" s="51">
        <v>31.6</v>
      </c>
      <c r="J438" s="213">
        <v>3255</v>
      </c>
      <c r="K438" s="146">
        <f t="shared" si="617"/>
        <v>255</v>
      </c>
      <c r="L438" s="147">
        <f t="shared" si="618"/>
        <v>11.8184</v>
      </c>
      <c r="M438" s="147">
        <f t="shared" si="619"/>
        <v>0</v>
      </c>
      <c r="N438" s="147">
        <f t="shared" si="620"/>
        <v>0</v>
      </c>
      <c r="O438" s="147">
        <f t="shared" si="621"/>
        <v>0</v>
      </c>
      <c r="P438" s="148">
        <f t="shared" si="623"/>
        <v>0.374</v>
      </c>
      <c r="Q438" s="147">
        <f t="shared" si="624"/>
        <v>0</v>
      </c>
      <c r="R438" s="147">
        <f t="shared" si="625"/>
        <v>0</v>
      </c>
      <c r="S438" s="147">
        <f t="shared" si="626"/>
        <v>0</v>
      </c>
      <c r="T438" s="200" t="str">
        <f t="shared" si="622"/>
        <v>V</v>
      </c>
      <c r="U438" s="214">
        <v>1</v>
      </c>
      <c r="V438" s="214">
        <v>1</v>
      </c>
      <c r="W438" s="214">
        <v>1</v>
      </c>
      <c r="X438" s="214">
        <v>1</v>
      </c>
      <c r="Y438" s="142"/>
      <c r="Z438" s="149">
        <f t="shared" si="613"/>
        <v>8058</v>
      </c>
      <c r="AA438" s="150">
        <f t="shared" si="614"/>
        <v>11.8184</v>
      </c>
      <c r="AE438" s="582">
        <f t="shared" si="615"/>
        <v>0</v>
      </c>
      <c r="AF438" s="582">
        <f t="shared" si="616"/>
        <v>0</v>
      </c>
    </row>
    <row r="439" spans="2:32" ht="18" customHeight="1">
      <c r="B439" s="142" t="s">
        <v>556</v>
      </c>
      <c r="C439" s="221" t="s">
        <v>191</v>
      </c>
      <c r="D439" s="222">
        <v>0</v>
      </c>
      <c r="E439" s="51" t="s">
        <v>507</v>
      </c>
      <c r="F439" s="51" t="s">
        <v>265</v>
      </c>
      <c r="G439" s="63" t="s">
        <v>266</v>
      </c>
      <c r="H439" s="51" t="s">
        <v>557</v>
      </c>
      <c r="I439" s="51">
        <v>11.8</v>
      </c>
      <c r="J439" s="213">
        <v>2255</v>
      </c>
      <c r="K439" s="146">
        <f t="shared" si="617"/>
        <v>255</v>
      </c>
      <c r="L439" s="147">
        <f t="shared" si="618"/>
        <v>37.854400000000005</v>
      </c>
      <c r="M439" s="147">
        <f t="shared" si="619"/>
        <v>0</v>
      </c>
      <c r="N439" s="147">
        <f t="shared" si="620"/>
        <v>0</v>
      </c>
      <c r="O439" s="147">
        <f t="shared" si="621"/>
        <v>0</v>
      </c>
      <c r="P439" s="148">
        <f t="shared" si="623"/>
        <v>3.2080000000000002</v>
      </c>
      <c r="Q439" s="147">
        <f t="shared" si="624"/>
        <v>0</v>
      </c>
      <c r="R439" s="147">
        <f t="shared" si="625"/>
        <v>0</v>
      </c>
      <c r="S439" s="147">
        <f t="shared" si="626"/>
        <v>0</v>
      </c>
      <c r="T439" s="200" t="str">
        <f t="shared" si="622"/>
        <v>S</v>
      </c>
      <c r="U439" s="214">
        <v>1</v>
      </c>
      <c r="V439" s="214">
        <v>1</v>
      </c>
      <c r="W439" s="214">
        <v>1</v>
      </c>
      <c r="X439" s="214">
        <v>1</v>
      </c>
      <c r="Y439" s="142"/>
      <c r="Z439" s="149">
        <f t="shared" si="613"/>
        <v>3009</v>
      </c>
      <c r="AA439" s="150">
        <f t="shared" si="614"/>
        <v>37.854400000000005</v>
      </c>
      <c r="AE439" s="582">
        <f t="shared" si="615"/>
        <v>0</v>
      </c>
      <c r="AF439" s="582">
        <f t="shared" si="616"/>
        <v>0</v>
      </c>
    </row>
    <row r="440" spans="2:32" ht="18" customHeight="1">
      <c r="B440" s="142" t="s">
        <v>556</v>
      </c>
      <c r="C440" s="221" t="s">
        <v>191</v>
      </c>
      <c r="D440" s="222">
        <v>0</v>
      </c>
      <c r="E440" s="51" t="s">
        <v>508</v>
      </c>
      <c r="F440" s="51" t="s">
        <v>265</v>
      </c>
      <c r="G440" s="63" t="s">
        <v>266</v>
      </c>
      <c r="H440" s="51" t="s">
        <v>557</v>
      </c>
      <c r="I440" s="51">
        <v>7.7</v>
      </c>
      <c r="J440" s="213">
        <v>2255</v>
      </c>
      <c r="K440" s="146">
        <f t="shared" si="617"/>
        <v>255</v>
      </c>
      <c r="L440" s="147">
        <f t="shared" si="618"/>
        <v>24.701600000000003</v>
      </c>
      <c r="M440" s="147">
        <f t="shared" si="619"/>
        <v>0</v>
      </c>
      <c r="N440" s="147">
        <f t="shared" si="620"/>
        <v>0</v>
      </c>
      <c r="O440" s="147">
        <f t="shared" si="621"/>
        <v>0</v>
      </c>
      <c r="P440" s="148">
        <f t="shared" si="623"/>
        <v>3.2080000000000002</v>
      </c>
      <c r="Q440" s="147">
        <f t="shared" si="624"/>
        <v>0</v>
      </c>
      <c r="R440" s="147">
        <f t="shared" si="625"/>
        <v>0</v>
      </c>
      <c r="S440" s="147">
        <f t="shared" si="626"/>
        <v>0</v>
      </c>
      <c r="T440" s="200" t="str">
        <f t="shared" si="622"/>
        <v>S</v>
      </c>
      <c r="U440" s="214">
        <v>1</v>
      </c>
      <c r="V440" s="214">
        <v>1</v>
      </c>
      <c r="W440" s="214">
        <v>1</v>
      </c>
      <c r="X440" s="214">
        <v>1</v>
      </c>
      <c r="Y440" s="142"/>
      <c r="Z440" s="149">
        <f t="shared" si="613"/>
        <v>1963.5</v>
      </c>
      <c r="AA440" s="150">
        <f t="shared" si="614"/>
        <v>24.701600000000003</v>
      </c>
      <c r="AE440" s="582">
        <f t="shared" si="615"/>
        <v>0</v>
      </c>
      <c r="AF440" s="582">
        <f t="shared" si="616"/>
        <v>0</v>
      </c>
    </row>
    <row r="441" spans="2:32" ht="18" customHeight="1">
      <c r="B441" s="142" t="s">
        <v>556</v>
      </c>
      <c r="C441" s="221" t="s">
        <v>191</v>
      </c>
      <c r="D441" s="222">
        <v>0</v>
      </c>
      <c r="E441" s="51" t="s">
        <v>510</v>
      </c>
      <c r="F441" s="51" t="s">
        <v>559</v>
      </c>
      <c r="G441" s="63" t="s">
        <v>271</v>
      </c>
      <c r="H441" s="51" t="s">
        <v>557</v>
      </c>
      <c r="I441" s="51">
        <v>14.9</v>
      </c>
      <c r="J441" s="213">
        <v>3255</v>
      </c>
      <c r="K441" s="146">
        <f t="shared" si="617"/>
        <v>255</v>
      </c>
      <c r="L441" s="147">
        <f t="shared" si="618"/>
        <v>5.5726000000000004</v>
      </c>
      <c r="M441" s="147">
        <f t="shared" si="619"/>
        <v>0</v>
      </c>
      <c r="N441" s="147">
        <f t="shared" si="620"/>
        <v>0</v>
      </c>
      <c r="O441" s="147">
        <f t="shared" si="621"/>
        <v>0</v>
      </c>
      <c r="P441" s="148">
        <f t="shared" si="623"/>
        <v>0.374</v>
      </c>
      <c r="Q441" s="147">
        <f t="shared" si="624"/>
        <v>0</v>
      </c>
      <c r="R441" s="147">
        <f t="shared" si="625"/>
        <v>0</v>
      </c>
      <c r="S441" s="147">
        <f t="shared" si="626"/>
        <v>0</v>
      </c>
      <c r="T441" s="200" t="str">
        <f t="shared" si="622"/>
        <v>V</v>
      </c>
      <c r="U441" s="214">
        <v>1</v>
      </c>
      <c r="V441" s="214">
        <v>1</v>
      </c>
      <c r="W441" s="214">
        <v>1</v>
      </c>
      <c r="X441" s="214">
        <v>1</v>
      </c>
      <c r="Y441" s="142"/>
      <c r="Z441" s="149">
        <f t="shared" si="613"/>
        <v>3799.5</v>
      </c>
      <c r="AA441" s="150">
        <f t="shared" si="614"/>
        <v>5.5726000000000004</v>
      </c>
      <c r="AE441" s="582">
        <f t="shared" si="615"/>
        <v>0</v>
      </c>
      <c r="AF441" s="582">
        <f t="shared" si="616"/>
        <v>0</v>
      </c>
    </row>
    <row r="442" spans="2:32" ht="18" customHeight="1">
      <c r="B442" s="142" t="s">
        <v>556</v>
      </c>
      <c r="C442" s="221" t="s">
        <v>191</v>
      </c>
      <c r="D442" s="222">
        <v>0</v>
      </c>
      <c r="E442" s="51" t="s">
        <v>511</v>
      </c>
      <c r="F442" s="51" t="s">
        <v>471</v>
      </c>
      <c r="G442" s="63" t="s">
        <v>271</v>
      </c>
      <c r="H442" s="51" t="s">
        <v>557</v>
      </c>
      <c r="I442" s="51">
        <v>35.6</v>
      </c>
      <c r="J442" s="213" t="s">
        <v>161</v>
      </c>
      <c r="K442" s="146">
        <f t="shared" si="617"/>
        <v>0</v>
      </c>
      <c r="L442" s="147">
        <f t="shared" si="618"/>
        <v>0</v>
      </c>
      <c r="M442" s="147">
        <f t="shared" si="619"/>
        <v>0</v>
      </c>
      <c r="N442" s="147">
        <f t="shared" si="620"/>
        <v>0</v>
      </c>
      <c r="O442" s="147">
        <f t="shared" si="621"/>
        <v>0</v>
      </c>
      <c r="P442" s="148">
        <f t="shared" si="623"/>
        <v>0</v>
      </c>
      <c r="Q442" s="147">
        <f t="shared" si="624"/>
        <v>0</v>
      </c>
      <c r="R442" s="147">
        <f t="shared" si="625"/>
        <v>0</v>
      </c>
      <c r="S442" s="147">
        <f t="shared" si="626"/>
        <v>0</v>
      </c>
      <c r="T442" s="200" t="str">
        <f t="shared" si="622"/>
        <v>nvt</v>
      </c>
      <c r="U442" s="214">
        <v>1</v>
      </c>
      <c r="V442" s="214">
        <v>1</v>
      </c>
      <c r="W442" s="214">
        <v>1</v>
      </c>
      <c r="X442" s="214">
        <v>1</v>
      </c>
      <c r="Y442" s="142"/>
      <c r="Z442" s="149">
        <f t="shared" si="613"/>
        <v>0</v>
      </c>
      <c r="AA442" s="150">
        <f t="shared" si="614"/>
        <v>0</v>
      </c>
      <c r="AE442" s="582">
        <f t="shared" si="615"/>
        <v>0</v>
      </c>
      <c r="AF442" s="582">
        <f t="shared" si="616"/>
        <v>0</v>
      </c>
    </row>
    <row r="443" spans="2:32" ht="18" customHeight="1">
      <c r="B443" s="142" t="s">
        <v>556</v>
      </c>
      <c r="C443" s="221" t="s">
        <v>191</v>
      </c>
      <c r="D443" s="222">
        <v>0</v>
      </c>
      <c r="E443" s="51" t="s">
        <v>512</v>
      </c>
      <c r="F443" s="51" t="s">
        <v>540</v>
      </c>
      <c r="G443" s="63" t="s">
        <v>271</v>
      </c>
      <c r="H443" s="51" t="s">
        <v>557</v>
      </c>
      <c r="I443" s="51">
        <v>7.2</v>
      </c>
      <c r="J443" s="213" t="s">
        <v>161</v>
      </c>
      <c r="K443" s="146">
        <f t="shared" si="617"/>
        <v>0</v>
      </c>
      <c r="L443" s="147">
        <f t="shared" si="618"/>
        <v>0</v>
      </c>
      <c r="M443" s="147">
        <f t="shared" si="619"/>
        <v>0</v>
      </c>
      <c r="N443" s="147">
        <f t="shared" si="620"/>
        <v>0</v>
      </c>
      <c r="O443" s="147">
        <f t="shared" si="621"/>
        <v>0</v>
      </c>
      <c r="P443" s="148">
        <f t="shared" si="623"/>
        <v>0</v>
      </c>
      <c r="Q443" s="147">
        <f t="shared" si="624"/>
        <v>0</v>
      </c>
      <c r="R443" s="147">
        <f t="shared" si="625"/>
        <v>0</v>
      </c>
      <c r="S443" s="147">
        <f t="shared" si="626"/>
        <v>0</v>
      </c>
      <c r="T443" s="200" t="str">
        <f t="shared" si="622"/>
        <v>nvt</v>
      </c>
      <c r="U443" s="214">
        <v>1</v>
      </c>
      <c r="V443" s="214">
        <v>1</v>
      </c>
      <c r="W443" s="214">
        <v>1</v>
      </c>
      <c r="X443" s="214">
        <v>1</v>
      </c>
      <c r="Y443" s="142"/>
      <c r="Z443" s="149">
        <f t="shared" si="613"/>
        <v>0</v>
      </c>
      <c r="AA443" s="150">
        <f t="shared" si="614"/>
        <v>0</v>
      </c>
      <c r="AE443" s="582">
        <f t="shared" si="615"/>
        <v>0</v>
      </c>
      <c r="AF443" s="582">
        <f t="shared" si="616"/>
        <v>0</v>
      </c>
    </row>
    <row r="444" spans="2:32" ht="18" customHeight="1">
      <c r="B444" s="142" t="s">
        <v>556</v>
      </c>
      <c r="C444" s="221" t="s">
        <v>191</v>
      </c>
      <c r="D444" s="222">
        <v>0</v>
      </c>
      <c r="E444" s="51" t="s">
        <v>513</v>
      </c>
      <c r="F444" s="51" t="s">
        <v>501</v>
      </c>
      <c r="G444" s="63" t="s">
        <v>271</v>
      </c>
      <c r="H444" s="51" t="s">
        <v>557</v>
      </c>
      <c r="I444" s="51">
        <v>2.75</v>
      </c>
      <c r="J444" s="213">
        <v>5255</v>
      </c>
      <c r="K444" s="146">
        <f t="shared" si="617"/>
        <v>255</v>
      </c>
      <c r="L444" s="147">
        <f t="shared" si="618"/>
        <v>2.1532499999999999</v>
      </c>
      <c r="M444" s="147">
        <f t="shared" si="619"/>
        <v>0</v>
      </c>
      <c r="N444" s="147">
        <f t="shared" si="620"/>
        <v>0</v>
      </c>
      <c r="O444" s="147">
        <f t="shared" si="621"/>
        <v>0</v>
      </c>
      <c r="P444" s="148">
        <f t="shared" si="623"/>
        <v>0.78300000000000003</v>
      </c>
      <c r="Q444" s="147">
        <f t="shared" si="624"/>
        <v>0</v>
      </c>
      <c r="R444" s="147">
        <f t="shared" si="625"/>
        <v>0</v>
      </c>
      <c r="S444" s="147">
        <f t="shared" si="626"/>
        <v>0</v>
      </c>
      <c r="T444" s="200" t="str">
        <f t="shared" si="622"/>
        <v>V</v>
      </c>
      <c r="U444" s="214">
        <v>1</v>
      </c>
      <c r="V444" s="214">
        <v>1</v>
      </c>
      <c r="W444" s="214">
        <v>1</v>
      </c>
      <c r="X444" s="214">
        <v>1</v>
      </c>
      <c r="Y444" s="142"/>
      <c r="Z444" s="149">
        <f t="shared" si="613"/>
        <v>701.25</v>
      </c>
      <c r="AA444" s="150">
        <f t="shared" si="614"/>
        <v>2.1532499999999999</v>
      </c>
      <c r="AE444" s="582">
        <f t="shared" si="615"/>
        <v>0</v>
      </c>
      <c r="AF444" s="582">
        <f t="shared" si="616"/>
        <v>0</v>
      </c>
    </row>
    <row r="445" spans="2:32" ht="18" customHeight="1">
      <c r="B445" s="142" t="s">
        <v>556</v>
      </c>
      <c r="C445" s="221" t="s">
        <v>191</v>
      </c>
      <c r="D445" s="222">
        <v>0</v>
      </c>
      <c r="E445" s="51" t="s">
        <v>514</v>
      </c>
      <c r="F445" s="51" t="s">
        <v>353</v>
      </c>
      <c r="G445" s="63" t="s">
        <v>271</v>
      </c>
      <c r="H445" s="51" t="s">
        <v>557</v>
      </c>
      <c r="I445" s="51">
        <v>20.6</v>
      </c>
      <c r="J445" s="213">
        <v>3255</v>
      </c>
      <c r="K445" s="146">
        <f t="shared" si="617"/>
        <v>255</v>
      </c>
      <c r="L445" s="147">
        <f t="shared" si="618"/>
        <v>7.7044000000000006</v>
      </c>
      <c r="M445" s="147">
        <f t="shared" si="619"/>
        <v>0</v>
      </c>
      <c r="N445" s="147">
        <f t="shared" si="620"/>
        <v>0</v>
      </c>
      <c r="O445" s="147">
        <f t="shared" si="621"/>
        <v>0</v>
      </c>
      <c r="P445" s="148">
        <f t="shared" si="623"/>
        <v>0.374</v>
      </c>
      <c r="Q445" s="147">
        <f t="shared" si="624"/>
        <v>0</v>
      </c>
      <c r="R445" s="147">
        <f t="shared" si="625"/>
        <v>0</v>
      </c>
      <c r="S445" s="147">
        <f t="shared" si="626"/>
        <v>0</v>
      </c>
      <c r="T445" s="200" t="str">
        <f t="shared" si="622"/>
        <v>V</v>
      </c>
      <c r="U445" s="214">
        <v>1</v>
      </c>
      <c r="V445" s="214">
        <v>1</v>
      </c>
      <c r="W445" s="214">
        <v>1</v>
      </c>
      <c r="X445" s="214">
        <v>1</v>
      </c>
      <c r="Y445" s="142"/>
      <c r="Z445" s="149">
        <f t="shared" si="613"/>
        <v>5253</v>
      </c>
      <c r="AA445" s="150">
        <f t="shared" si="614"/>
        <v>7.7044000000000006</v>
      </c>
      <c r="AE445" s="582">
        <f t="shared" si="615"/>
        <v>0</v>
      </c>
      <c r="AF445" s="582">
        <f t="shared" si="616"/>
        <v>0</v>
      </c>
    </row>
    <row r="446" spans="2:32" ht="18" customHeight="1">
      <c r="B446" s="142" t="s">
        <v>556</v>
      </c>
      <c r="C446" s="221" t="s">
        <v>191</v>
      </c>
      <c r="D446" s="222">
        <v>0</v>
      </c>
      <c r="E446" s="51" t="s">
        <v>515</v>
      </c>
      <c r="F446" s="51" t="s">
        <v>560</v>
      </c>
      <c r="G446" s="63" t="s">
        <v>271</v>
      </c>
      <c r="H446" s="51" t="s">
        <v>557</v>
      </c>
      <c r="I446" s="51">
        <v>52</v>
      </c>
      <c r="J446" s="213">
        <v>18255</v>
      </c>
      <c r="K446" s="146">
        <f t="shared" si="617"/>
        <v>255</v>
      </c>
      <c r="L446" s="147">
        <f t="shared" si="618"/>
        <v>29.847999999999999</v>
      </c>
      <c r="M446" s="147">
        <f t="shared" si="619"/>
        <v>0</v>
      </c>
      <c r="N446" s="147">
        <f t="shared" si="620"/>
        <v>0</v>
      </c>
      <c r="O446" s="147">
        <f t="shared" si="621"/>
        <v>0</v>
      </c>
      <c r="P446" s="148">
        <f t="shared" si="623"/>
        <v>0.57399999999999995</v>
      </c>
      <c r="Q446" s="147">
        <f t="shared" si="624"/>
        <v>0</v>
      </c>
      <c r="R446" s="147">
        <f t="shared" si="625"/>
        <v>0</v>
      </c>
      <c r="S446" s="147">
        <f t="shared" si="626"/>
        <v>0</v>
      </c>
      <c r="T446" s="200" t="str">
        <f t="shared" si="622"/>
        <v>V</v>
      </c>
      <c r="U446" s="214">
        <v>1</v>
      </c>
      <c r="V446" s="214">
        <v>1</v>
      </c>
      <c r="W446" s="214">
        <v>1</v>
      </c>
      <c r="X446" s="214">
        <v>1</v>
      </c>
      <c r="Y446" s="142"/>
      <c r="Z446" s="149">
        <f t="shared" si="613"/>
        <v>13260</v>
      </c>
      <c r="AA446" s="150">
        <f t="shared" si="614"/>
        <v>29.847999999999999</v>
      </c>
      <c r="AE446" s="582">
        <f t="shared" si="615"/>
        <v>0</v>
      </c>
      <c r="AF446" s="582">
        <f t="shared" si="616"/>
        <v>0</v>
      </c>
    </row>
    <row r="447" spans="2:32" ht="18" customHeight="1">
      <c r="B447" s="142" t="s">
        <v>556</v>
      </c>
      <c r="C447" s="221" t="s">
        <v>191</v>
      </c>
      <c r="D447" s="222">
        <v>0</v>
      </c>
      <c r="E447" s="51" t="s">
        <v>516</v>
      </c>
      <c r="F447" s="51" t="s">
        <v>353</v>
      </c>
      <c r="G447" s="63" t="s">
        <v>271</v>
      </c>
      <c r="H447" s="51" t="s">
        <v>557</v>
      </c>
      <c r="I447" s="51">
        <v>65</v>
      </c>
      <c r="J447" s="213">
        <v>3255</v>
      </c>
      <c r="K447" s="146">
        <f t="shared" si="617"/>
        <v>255</v>
      </c>
      <c r="L447" s="147">
        <f t="shared" si="618"/>
        <v>24.31</v>
      </c>
      <c r="M447" s="147">
        <f t="shared" si="619"/>
        <v>0</v>
      </c>
      <c r="N447" s="147">
        <f t="shared" si="620"/>
        <v>0</v>
      </c>
      <c r="O447" s="147">
        <f t="shared" si="621"/>
        <v>0</v>
      </c>
      <c r="P447" s="148">
        <f t="shared" si="623"/>
        <v>0.374</v>
      </c>
      <c r="Q447" s="147">
        <f t="shared" si="624"/>
        <v>0</v>
      </c>
      <c r="R447" s="147">
        <f t="shared" si="625"/>
        <v>0</v>
      </c>
      <c r="S447" s="147">
        <f t="shared" si="626"/>
        <v>0</v>
      </c>
      <c r="T447" s="200" t="str">
        <f t="shared" si="622"/>
        <v>V</v>
      </c>
      <c r="U447" s="214">
        <v>1</v>
      </c>
      <c r="V447" s="214">
        <v>1</v>
      </c>
      <c r="W447" s="214">
        <v>1</v>
      </c>
      <c r="X447" s="214">
        <v>1</v>
      </c>
      <c r="Y447" s="142"/>
      <c r="Z447" s="149">
        <f t="shared" si="613"/>
        <v>16575</v>
      </c>
      <c r="AA447" s="150">
        <f t="shared" si="614"/>
        <v>24.31</v>
      </c>
      <c r="AE447" s="582">
        <f t="shared" si="615"/>
        <v>0</v>
      </c>
      <c r="AF447" s="582">
        <f t="shared" si="616"/>
        <v>0</v>
      </c>
    </row>
    <row r="448" spans="2:32" ht="18" customHeight="1">
      <c r="B448" s="142" t="s">
        <v>556</v>
      </c>
      <c r="C448" s="221" t="s">
        <v>191</v>
      </c>
      <c r="D448" s="222">
        <v>0</v>
      </c>
      <c r="E448" s="51" t="s">
        <v>517</v>
      </c>
      <c r="F448" s="51" t="s">
        <v>509</v>
      </c>
      <c r="G448" s="63" t="s">
        <v>271</v>
      </c>
      <c r="H448" s="51" t="s">
        <v>557</v>
      </c>
      <c r="I448" s="51">
        <v>178.5</v>
      </c>
      <c r="J448" s="213">
        <v>18255</v>
      </c>
      <c r="K448" s="146">
        <f t="shared" si="617"/>
        <v>255</v>
      </c>
      <c r="L448" s="147">
        <f t="shared" si="618"/>
        <v>102.45899999999999</v>
      </c>
      <c r="M448" s="147">
        <f t="shared" si="619"/>
        <v>0</v>
      </c>
      <c r="N448" s="147">
        <f t="shared" si="620"/>
        <v>0</v>
      </c>
      <c r="O448" s="147">
        <f t="shared" si="621"/>
        <v>0</v>
      </c>
      <c r="P448" s="148">
        <f t="shared" si="623"/>
        <v>0.57399999999999995</v>
      </c>
      <c r="Q448" s="147">
        <f t="shared" si="624"/>
        <v>0</v>
      </c>
      <c r="R448" s="147">
        <f t="shared" si="625"/>
        <v>0</v>
      </c>
      <c r="S448" s="147">
        <f t="shared" si="626"/>
        <v>0</v>
      </c>
      <c r="T448" s="200" t="str">
        <f t="shared" si="622"/>
        <v>V</v>
      </c>
      <c r="U448" s="214">
        <v>1</v>
      </c>
      <c r="V448" s="214">
        <v>1</v>
      </c>
      <c r="W448" s="214">
        <v>1</v>
      </c>
      <c r="X448" s="214">
        <v>1</v>
      </c>
      <c r="Y448" s="142"/>
      <c r="Z448" s="149">
        <f t="shared" si="613"/>
        <v>45517.5</v>
      </c>
      <c r="AA448" s="150">
        <f t="shared" si="614"/>
        <v>102.45899999999999</v>
      </c>
      <c r="AE448" s="582">
        <f t="shared" si="615"/>
        <v>0</v>
      </c>
      <c r="AF448" s="582">
        <f t="shared" si="616"/>
        <v>0</v>
      </c>
    </row>
    <row r="449" spans="2:32" ht="18" customHeight="1">
      <c r="B449" s="142" t="s">
        <v>556</v>
      </c>
      <c r="C449" s="221" t="s">
        <v>191</v>
      </c>
      <c r="D449" s="222">
        <v>0</v>
      </c>
      <c r="E449" s="51" t="s">
        <v>519</v>
      </c>
      <c r="F449" s="51" t="s">
        <v>281</v>
      </c>
      <c r="G449" s="63" t="s">
        <v>271</v>
      </c>
      <c r="H449" s="51" t="s">
        <v>557</v>
      </c>
      <c r="I449" s="51">
        <v>4.4000000000000004</v>
      </c>
      <c r="J449" s="213">
        <v>5255</v>
      </c>
      <c r="K449" s="146">
        <f t="shared" si="617"/>
        <v>255</v>
      </c>
      <c r="L449" s="147">
        <f t="shared" si="618"/>
        <v>3.4452000000000003</v>
      </c>
      <c r="M449" s="147">
        <f t="shared" si="619"/>
        <v>0</v>
      </c>
      <c r="N449" s="147">
        <f t="shared" si="620"/>
        <v>0</v>
      </c>
      <c r="O449" s="147">
        <f t="shared" si="621"/>
        <v>0</v>
      </c>
      <c r="P449" s="148">
        <f t="shared" si="623"/>
        <v>0.78300000000000003</v>
      </c>
      <c r="Q449" s="147">
        <f t="shared" si="624"/>
        <v>0</v>
      </c>
      <c r="R449" s="147">
        <f t="shared" si="625"/>
        <v>0</v>
      </c>
      <c r="S449" s="147">
        <f t="shared" si="626"/>
        <v>0</v>
      </c>
      <c r="T449" s="200" t="str">
        <f t="shared" si="622"/>
        <v>V</v>
      </c>
      <c r="U449" s="214">
        <v>1</v>
      </c>
      <c r="V449" s="214">
        <v>1</v>
      </c>
      <c r="W449" s="214">
        <v>1</v>
      </c>
      <c r="X449" s="214">
        <v>1</v>
      </c>
      <c r="Y449" s="142"/>
      <c r="Z449" s="149">
        <f t="shared" ref="Z449:Z512" si="637">I449*K449</f>
        <v>1122</v>
      </c>
      <c r="AA449" s="150">
        <f t="shared" ref="AA449:AA512" si="638">L449+M449+N449+O449</f>
        <v>3.4452000000000003</v>
      </c>
      <c r="AE449" s="582">
        <f t="shared" ref="AE449:AE512" si="639">SUMIF(H449,"Linoleum",I449)</f>
        <v>0</v>
      </c>
      <c r="AF449" s="582">
        <f t="shared" ref="AF449:AF512" si="640">SUMIF(H449,"Tapijt",I449)</f>
        <v>0</v>
      </c>
    </row>
    <row r="450" spans="2:32" ht="18" customHeight="1">
      <c r="B450" s="142" t="s">
        <v>556</v>
      </c>
      <c r="C450" s="221" t="s">
        <v>191</v>
      </c>
      <c r="D450" s="143">
        <v>1</v>
      </c>
      <c r="E450" s="51">
        <v>101</v>
      </c>
      <c r="F450" s="51" t="s">
        <v>501</v>
      </c>
      <c r="G450" s="63" t="s">
        <v>271</v>
      </c>
      <c r="H450" s="51" t="s">
        <v>557</v>
      </c>
      <c r="I450" s="51">
        <v>2.4</v>
      </c>
      <c r="J450" s="213">
        <v>5255</v>
      </c>
      <c r="K450" s="146">
        <f t="shared" ref="K450:K513" si="641">SUM(IF(J450="",0,VLOOKUP(J450,Kengetal,2)))</f>
        <v>255</v>
      </c>
      <c r="L450" s="147">
        <f t="shared" ref="L450:L513" si="642">P450*I450*U450</f>
        <v>1.8792</v>
      </c>
      <c r="M450" s="147">
        <f t="shared" ref="M450:M513" si="643">Q450*I450*V450</f>
        <v>0</v>
      </c>
      <c r="N450" s="147">
        <f t="shared" ref="N450:N513" si="644">R450*I450*W450</f>
        <v>0</v>
      </c>
      <c r="O450" s="147">
        <f t="shared" ref="O450:O513" si="645">S450*I450*X450</f>
        <v>0</v>
      </c>
      <c r="P450" s="148">
        <f t="shared" si="623"/>
        <v>0.78300000000000003</v>
      </c>
      <c r="Q450" s="147">
        <f t="shared" si="624"/>
        <v>0</v>
      </c>
      <c r="R450" s="147">
        <f t="shared" si="625"/>
        <v>0</v>
      </c>
      <c r="S450" s="147">
        <f t="shared" si="626"/>
        <v>0</v>
      </c>
      <c r="T450" s="200" t="str">
        <f t="shared" ref="T450:T513" si="646">IF(J450="","",VLOOKUP(J450,Kengetal,13,FALSE))</f>
        <v>V</v>
      </c>
      <c r="U450" s="214">
        <v>1</v>
      </c>
      <c r="V450" s="214">
        <v>1</v>
      </c>
      <c r="W450" s="214">
        <v>1</v>
      </c>
      <c r="X450" s="214">
        <v>1</v>
      </c>
      <c r="Y450" s="142"/>
      <c r="Z450" s="149">
        <f t="shared" si="637"/>
        <v>612</v>
      </c>
      <c r="AA450" s="150">
        <f t="shared" si="638"/>
        <v>1.8792</v>
      </c>
      <c r="AE450" s="582">
        <f t="shared" si="639"/>
        <v>0</v>
      </c>
      <c r="AF450" s="582">
        <f t="shared" si="640"/>
        <v>0</v>
      </c>
    </row>
    <row r="451" spans="2:32" ht="18" customHeight="1">
      <c r="B451" s="142" t="s">
        <v>556</v>
      </c>
      <c r="C451" s="221" t="s">
        <v>191</v>
      </c>
      <c r="D451" s="143">
        <v>1</v>
      </c>
      <c r="E451" s="51">
        <v>102</v>
      </c>
      <c r="F451" s="51" t="s">
        <v>353</v>
      </c>
      <c r="G451" s="63" t="s">
        <v>271</v>
      </c>
      <c r="H451" s="51" t="s">
        <v>557</v>
      </c>
      <c r="I451" s="51">
        <v>40.1</v>
      </c>
      <c r="J451" s="213">
        <v>3255</v>
      </c>
      <c r="K451" s="146">
        <f t="shared" si="641"/>
        <v>255</v>
      </c>
      <c r="L451" s="147">
        <f t="shared" si="642"/>
        <v>14.997400000000001</v>
      </c>
      <c r="M451" s="147">
        <f t="shared" si="643"/>
        <v>0</v>
      </c>
      <c r="N451" s="147">
        <f t="shared" si="644"/>
        <v>0</v>
      </c>
      <c r="O451" s="147">
        <f t="shared" si="645"/>
        <v>0</v>
      </c>
      <c r="P451" s="148">
        <f t="shared" si="623"/>
        <v>0.374</v>
      </c>
      <c r="Q451" s="147">
        <f t="shared" si="624"/>
        <v>0</v>
      </c>
      <c r="R451" s="147">
        <f t="shared" si="625"/>
        <v>0</v>
      </c>
      <c r="S451" s="147">
        <f t="shared" si="626"/>
        <v>0</v>
      </c>
      <c r="T451" s="200" t="str">
        <f t="shared" si="646"/>
        <v>V</v>
      </c>
      <c r="U451" s="214">
        <v>1</v>
      </c>
      <c r="V451" s="214">
        <v>1</v>
      </c>
      <c r="W451" s="214">
        <v>1</v>
      </c>
      <c r="X451" s="214">
        <v>1</v>
      </c>
      <c r="Y451" s="142"/>
      <c r="Z451" s="149">
        <f t="shared" si="637"/>
        <v>10225.5</v>
      </c>
      <c r="AA451" s="150">
        <f t="shared" si="638"/>
        <v>14.997400000000001</v>
      </c>
      <c r="AE451" s="582">
        <f t="shared" si="639"/>
        <v>0</v>
      </c>
      <c r="AF451" s="582">
        <f t="shared" si="640"/>
        <v>0</v>
      </c>
    </row>
    <row r="452" spans="2:32" ht="18" customHeight="1">
      <c r="B452" s="142" t="s">
        <v>556</v>
      </c>
      <c r="C452" s="221" t="s">
        <v>191</v>
      </c>
      <c r="D452" s="143">
        <v>1</v>
      </c>
      <c r="E452" s="51">
        <v>103</v>
      </c>
      <c r="F452" s="51" t="s">
        <v>501</v>
      </c>
      <c r="G452" s="63" t="s">
        <v>271</v>
      </c>
      <c r="H452" s="51" t="s">
        <v>557</v>
      </c>
      <c r="I452" s="51">
        <v>1.2</v>
      </c>
      <c r="J452" s="213">
        <v>5255</v>
      </c>
      <c r="K452" s="146">
        <f t="shared" si="641"/>
        <v>255</v>
      </c>
      <c r="L452" s="147">
        <f t="shared" si="642"/>
        <v>0.93959999999999999</v>
      </c>
      <c r="M452" s="147">
        <f t="shared" si="643"/>
        <v>0</v>
      </c>
      <c r="N452" s="147">
        <f t="shared" si="644"/>
        <v>0</v>
      </c>
      <c r="O452" s="147">
        <f t="shared" si="645"/>
        <v>0</v>
      </c>
      <c r="P452" s="148">
        <f t="shared" si="623"/>
        <v>0.78300000000000003</v>
      </c>
      <c r="Q452" s="147">
        <f t="shared" si="624"/>
        <v>0</v>
      </c>
      <c r="R452" s="147">
        <f t="shared" si="625"/>
        <v>0</v>
      </c>
      <c r="S452" s="147">
        <f t="shared" si="626"/>
        <v>0</v>
      </c>
      <c r="T452" s="200" t="str">
        <f t="shared" si="646"/>
        <v>V</v>
      </c>
      <c r="U452" s="214">
        <v>1</v>
      </c>
      <c r="V452" s="214">
        <v>1</v>
      </c>
      <c r="W452" s="214">
        <v>1</v>
      </c>
      <c r="X452" s="214">
        <v>1</v>
      </c>
      <c r="Y452" s="142"/>
      <c r="Z452" s="149">
        <f t="shared" si="637"/>
        <v>306</v>
      </c>
      <c r="AA452" s="150">
        <f t="shared" si="638"/>
        <v>0.93959999999999999</v>
      </c>
      <c r="AE452" s="582">
        <f t="shared" si="639"/>
        <v>0</v>
      </c>
      <c r="AF452" s="582">
        <f t="shared" si="640"/>
        <v>0</v>
      </c>
    </row>
    <row r="453" spans="2:32" ht="18" customHeight="1">
      <c r="B453" s="142" t="s">
        <v>556</v>
      </c>
      <c r="C453" s="221" t="s">
        <v>191</v>
      </c>
      <c r="D453" s="143">
        <v>1</v>
      </c>
      <c r="E453" s="51">
        <v>104</v>
      </c>
      <c r="F453" s="51" t="s">
        <v>353</v>
      </c>
      <c r="G453" s="63" t="s">
        <v>271</v>
      </c>
      <c r="H453" s="51" t="s">
        <v>557</v>
      </c>
      <c r="I453" s="51">
        <v>17.2</v>
      </c>
      <c r="J453" s="213">
        <v>3255</v>
      </c>
      <c r="K453" s="146">
        <f t="shared" si="641"/>
        <v>255</v>
      </c>
      <c r="L453" s="147">
        <f t="shared" si="642"/>
        <v>6.4327999999999994</v>
      </c>
      <c r="M453" s="147">
        <f t="shared" si="643"/>
        <v>0</v>
      </c>
      <c r="N453" s="147">
        <f t="shared" si="644"/>
        <v>0</v>
      </c>
      <c r="O453" s="147">
        <f t="shared" si="645"/>
        <v>0</v>
      </c>
      <c r="P453" s="148">
        <f t="shared" si="623"/>
        <v>0.374</v>
      </c>
      <c r="Q453" s="147">
        <f t="shared" si="624"/>
        <v>0</v>
      </c>
      <c r="R453" s="147">
        <f t="shared" si="625"/>
        <v>0</v>
      </c>
      <c r="S453" s="147">
        <f t="shared" si="626"/>
        <v>0</v>
      </c>
      <c r="T453" s="200" t="str">
        <f t="shared" si="646"/>
        <v>V</v>
      </c>
      <c r="U453" s="214">
        <v>1</v>
      </c>
      <c r="V453" s="214">
        <v>1</v>
      </c>
      <c r="W453" s="214">
        <v>1</v>
      </c>
      <c r="X453" s="214">
        <v>1</v>
      </c>
      <c r="Y453" s="142"/>
      <c r="Z453" s="149">
        <f t="shared" si="637"/>
        <v>4386</v>
      </c>
      <c r="AA453" s="150">
        <f t="shared" si="638"/>
        <v>6.4327999999999994</v>
      </c>
      <c r="AE453" s="582">
        <f t="shared" si="639"/>
        <v>0</v>
      </c>
      <c r="AF453" s="582">
        <f t="shared" si="640"/>
        <v>0</v>
      </c>
    </row>
    <row r="454" spans="2:32" ht="18" customHeight="1">
      <c r="B454" s="142" t="s">
        <v>468</v>
      </c>
      <c r="C454" s="221" t="s">
        <v>192</v>
      </c>
      <c r="D454" s="222">
        <v>0</v>
      </c>
      <c r="E454" s="210"/>
      <c r="F454" s="51" t="s">
        <v>262</v>
      </c>
      <c r="G454" s="63" t="s">
        <v>263</v>
      </c>
      <c r="H454" s="51" t="s">
        <v>76</v>
      </c>
      <c r="I454" s="51">
        <v>44</v>
      </c>
      <c r="J454" s="512" t="s">
        <v>161</v>
      </c>
      <c r="K454" s="146">
        <f t="shared" ref="K454:K467" si="647">SUM(IF(J454="",0,VLOOKUP(J454,Kengetal,2)))</f>
        <v>0</v>
      </c>
      <c r="L454" s="147">
        <f t="shared" ref="L454:L467" si="648">P454*I454*U454</f>
        <v>0</v>
      </c>
      <c r="M454" s="147">
        <f t="shared" ref="M454:M467" si="649">Q454*I454*V454</f>
        <v>0</v>
      </c>
      <c r="N454" s="147">
        <f t="shared" ref="N454:N467" si="650">R454*I454*W454</f>
        <v>0</v>
      </c>
      <c r="O454" s="147">
        <f t="shared" ref="O454:O467" si="651">S454*I454*X454</f>
        <v>0</v>
      </c>
      <c r="P454" s="148">
        <f t="shared" si="623"/>
        <v>0</v>
      </c>
      <c r="Q454" s="147">
        <f t="shared" si="624"/>
        <v>0</v>
      </c>
      <c r="R454" s="147">
        <f t="shared" si="625"/>
        <v>0</v>
      </c>
      <c r="S454" s="147">
        <f t="shared" si="626"/>
        <v>0</v>
      </c>
      <c r="T454" s="200" t="str">
        <f t="shared" ref="T454:T467" si="652">IF(J454="","",VLOOKUP(J454,Kengetal,13,FALSE))</f>
        <v>nvt</v>
      </c>
      <c r="U454" s="214">
        <v>1</v>
      </c>
      <c r="V454" s="214">
        <v>1</v>
      </c>
      <c r="W454" s="214">
        <v>1</v>
      </c>
      <c r="X454" s="214">
        <v>1</v>
      </c>
      <c r="Y454" s="142"/>
      <c r="Z454" s="149">
        <f t="shared" si="637"/>
        <v>0</v>
      </c>
      <c r="AA454" s="150">
        <f t="shared" si="638"/>
        <v>0</v>
      </c>
      <c r="AE454" s="582">
        <f t="shared" si="639"/>
        <v>0</v>
      </c>
      <c r="AF454" s="582">
        <f t="shared" si="640"/>
        <v>44</v>
      </c>
    </row>
    <row r="455" spans="2:32" ht="18" customHeight="1">
      <c r="B455" s="142" t="s">
        <v>468</v>
      </c>
      <c r="C455" s="221" t="s">
        <v>192</v>
      </c>
      <c r="D455" s="222">
        <v>0</v>
      </c>
      <c r="E455" s="210"/>
      <c r="F455" s="51" t="s">
        <v>363</v>
      </c>
      <c r="G455" s="63" t="s">
        <v>266</v>
      </c>
      <c r="H455" s="51" t="s">
        <v>272</v>
      </c>
      <c r="I455" s="51">
        <v>3.2</v>
      </c>
      <c r="J455" s="512" t="s">
        <v>161</v>
      </c>
      <c r="K455" s="146">
        <f t="shared" si="647"/>
        <v>0</v>
      </c>
      <c r="L455" s="147">
        <f t="shared" si="648"/>
        <v>0</v>
      </c>
      <c r="M455" s="147">
        <f t="shared" si="649"/>
        <v>0</v>
      </c>
      <c r="N455" s="147">
        <f t="shared" si="650"/>
        <v>0</v>
      </c>
      <c r="O455" s="147">
        <f t="shared" si="651"/>
        <v>0</v>
      </c>
      <c r="P455" s="148">
        <f t="shared" si="623"/>
        <v>0</v>
      </c>
      <c r="Q455" s="147">
        <f t="shared" si="624"/>
        <v>0</v>
      </c>
      <c r="R455" s="147">
        <f t="shared" si="625"/>
        <v>0</v>
      </c>
      <c r="S455" s="147">
        <f t="shared" si="626"/>
        <v>0</v>
      </c>
      <c r="T455" s="200" t="str">
        <f t="shared" si="652"/>
        <v>nvt</v>
      </c>
      <c r="U455" s="214">
        <v>1</v>
      </c>
      <c r="V455" s="214">
        <v>1</v>
      </c>
      <c r="W455" s="214">
        <v>1</v>
      </c>
      <c r="X455" s="214">
        <v>1</v>
      </c>
      <c r="Y455" s="142"/>
      <c r="Z455" s="149">
        <f t="shared" si="637"/>
        <v>0</v>
      </c>
      <c r="AA455" s="150">
        <f t="shared" si="638"/>
        <v>0</v>
      </c>
      <c r="AE455" s="582">
        <f t="shared" si="639"/>
        <v>0</v>
      </c>
      <c r="AF455" s="582">
        <f t="shared" si="640"/>
        <v>0</v>
      </c>
    </row>
    <row r="456" spans="2:32" ht="18" customHeight="1">
      <c r="B456" s="142" t="s">
        <v>468</v>
      </c>
      <c r="C456" s="221" t="s">
        <v>192</v>
      </c>
      <c r="D456" s="222">
        <v>0</v>
      </c>
      <c r="E456" s="210"/>
      <c r="F456" s="51" t="s">
        <v>363</v>
      </c>
      <c r="G456" s="63" t="s">
        <v>266</v>
      </c>
      <c r="H456" s="51" t="s">
        <v>272</v>
      </c>
      <c r="I456" s="51">
        <v>3.8</v>
      </c>
      <c r="J456" s="512">
        <v>2052</v>
      </c>
      <c r="K456" s="146">
        <f t="shared" si="647"/>
        <v>52</v>
      </c>
      <c r="L456" s="147">
        <f t="shared" si="648"/>
        <v>3.4802396862745093</v>
      </c>
      <c r="M456" s="147">
        <f t="shared" si="649"/>
        <v>0</v>
      </c>
      <c r="N456" s="147">
        <f t="shared" si="650"/>
        <v>0</v>
      </c>
      <c r="O456" s="147">
        <f t="shared" si="651"/>
        <v>0</v>
      </c>
      <c r="P456" s="148">
        <f t="shared" si="623"/>
        <v>0.91585254901960778</v>
      </c>
      <c r="Q456" s="147">
        <f t="shared" si="624"/>
        <v>0</v>
      </c>
      <c r="R456" s="147">
        <f t="shared" si="625"/>
        <v>0</v>
      </c>
      <c r="S456" s="147">
        <f t="shared" si="626"/>
        <v>0</v>
      </c>
      <c r="T456" s="200" t="str">
        <f t="shared" si="652"/>
        <v>S</v>
      </c>
      <c r="U456" s="214">
        <v>1</v>
      </c>
      <c r="V456" s="214">
        <v>1</v>
      </c>
      <c r="W456" s="214">
        <v>1</v>
      </c>
      <c r="X456" s="214">
        <v>1</v>
      </c>
      <c r="Y456" s="142"/>
      <c r="Z456" s="149">
        <f t="shared" si="637"/>
        <v>197.6</v>
      </c>
      <c r="AA456" s="150">
        <f t="shared" si="638"/>
        <v>3.4802396862745093</v>
      </c>
      <c r="AE456" s="582">
        <f t="shared" si="639"/>
        <v>0</v>
      </c>
      <c r="AF456" s="582">
        <f t="shared" si="640"/>
        <v>0</v>
      </c>
    </row>
    <row r="457" spans="2:32" ht="18" customHeight="1">
      <c r="B457" s="142" t="s">
        <v>468</v>
      </c>
      <c r="C457" s="221" t="s">
        <v>192</v>
      </c>
      <c r="D457" s="222">
        <v>0</v>
      </c>
      <c r="E457" s="210"/>
      <c r="F457" s="51" t="s">
        <v>294</v>
      </c>
      <c r="G457" s="63" t="s">
        <v>271</v>
      </c>
      <c r="H457" s="51" t="s">
        <v>301</v>
      </c>
      <c r="I457" s="51"/>
      <c r="J457" s="512" t="s">
        <v>161</v>
      </c>
      <c r="K457" s="146">
        <f t="shared" si="647"/>
        <v>0</v>
      </c>
      <c r="L457" s="147">
        <f t="shared" si="648"/>
        <v>0</v>
      </c>
      <c r="M457" s="147">
        <f t="shared" si="649"/>
        <v>0</v>
      </c>
      <c r="N457" s="147">
        <f t="shared" si="650"/>
        <v>0</v>
      </c>
      <c r="O457" s="147">
        <f t="shared" si="651"/>
        <v>0</v>
      </c>
      <c r="P457" s="148">
        <f t="shared" si="623"/>
        <v>0</v>
      </c>
      <c r="Q457" s="147">
        <f t="shared" si="624"/>
        <v>0</v>
      </c>
      <c r="R457" s="147">
        <f t="shared" si="625"/>
        <v>0</v>
      </c>
      <c r="S457" s="147">
        <f t="shared" si="626"/>
        <v>0</v>
      </c>
      <c r="T457" s="200" t="str">
        <f t="shared" si="652"/>
        <v>nvt</v>
      </c>
      <c r="U457" s="214">
        <v>1</v>
      </c>
      <c r="V457" s="214">
        <v>1</v>
      </c>
      <c r="W457" s="214">
        <v>1</v>
      </c>
      <c r="X457" s="214">
        <v>1</v>
      </c>
      <c r="Y457" s="142"/>
      <c r="Z457" s="149">
        <f t="shared" si="637"/>
        <v>0</v>
      </c>
      <c r="AA457" s="150">
        <f t="shared" si="638"/>
        <v>0</v>
      </c>
      <c r="AE457" s="582">
        <f t="shared" si="639"/>
        <v>0</v>
      </c>
      <c r="AF457" s="582">
        <f t="shared" si="640"/>
        <v>0</v>
      </c>
    </row>
    <row r="458" spans="2:32" ht="18" customHeight="1">
      <c r="B458" s="142" t="s">
        <v>468</v>
      </c>
      <c r="C458" s="221" t="s">
        <v>192</v>
      </c>
      <c r="D458" s="222">
        <v>0</v>
      </c>
      <c r="E458" s="210"/>
      <c r="F458" s="51" t="s">
        <v>353</v>
      </c>
      <c r="G458" s="63" t="s">
        <v>271</v>
      </c>
      <c r="H458" s="51" t="s">
        <v>272</v>
      </c>
      <c r="I458" s="51">
        <v>4.5</v>
      </c>
      <c r="J458" s="512">
        <v>3052</v>
      </c>
      <c r="K458" s="146">
        <f t="shared" si="647"/>
        <v>52</v>
      </c>
      <c r="L458" s="147">
        <f t="shared" si="648"/>
        <v>0.48047999999999991</v>
      </c>
      <c r="M458" s="147">
        <f t="shared" si="649"/>
        <v>0</v>
      </c>
      <c r="N458" s="147">
        <f t="shared" si="650"/>
        <v>0</v>
      </c>
      <c r="O458" s="147">
        <f t="shared" si="651"/>
        <v>0</v>
      </c>
      <c r="P458" s="148">
        <f t="shared" si="623"/>
        <v>0.10677333333333332</v>
      </c>
      <c r="Q458" s="147">
        <f t="shared" si="624"/>
        <v>0</v>
      </c>
      <c r="R458" s="147">
        <f t="shared" si="625"/>
        <v>0</v>
      </c>
      <c r="S458" s="147">
        <f t="shared" si="626"/>
        <v>0</v>
      </c>
      <c r="T458" s="200" t="str">
        <f t="shared" si="652"/>
        <v>V</v>
      </c>
      <c r="U458" s="214">
        <v>1</v>
      </c>
      <c r="V458" s="214">
        <v>1</v>
      </c>
      <c r="W458" s="214">
        <v>1</v>
      </c>
      <c r="X458" s="214">
        <v>1</v>
      </c>
      <c r="Y458" s="142"/>
      <c r="Z458" s="149">
        <f t="shared" si="637"/>
        <v>234</v>
      </c>
      <c r="AA458" s="150">
        <f t="shared" si="638"/>
        <v>0.48047999999999991</v>
      </c>
      <c r="AE458" s="582">
        <f t="shared" si="639"/>
        <v>0</v>
      </c>
      <c r="AF458" s="582">
        <f t="shared" si="640"/>
        <v>0</v>
      </c>
    </row>
    <row r="459" spans="2:32" ht="18" customHeight="1">
      <c r="B459" s="142" t="s">
        <v>468</v>
      </c>
      <c r="C459" s="221" t="s">
        <v>192</v>
      </c>
      <c r="D459" s="222">
        <v>0</v>
      </c>
      <c r="E459" s="210"/>
      <c r="F459" s="51" t="s">
        <v>339</v>
      </c>
      <c r="G459" s="63" t="s">
        <v>271</v>
      </c>
      <c r="H459" s="51" t="s">
        <v>272</v>
      </c>
      <c r="I459" s="51">
        <v>7.1</v>
      </c>
      <c r="J459" s="512">
        <v>3052</v>
      </c>
      <c r="K459" s="146">
        <f t="shared" si="647"/>
        <v>52</v>
      </c>
      <c r="L459" s="147">
        <f t="shared" si="648"/>
        <v>0.75809066666666647</v>
      </c>
      <c r="M459" s="147">
        <f t="shared" si="649"/>
        <v>0</v>
      </c>
      <c r="N459" s="147">
        <f t="shared" si="650"/>
        <v>0</v>
      </c>
      <c r="O459" s="147">
        <f t="shared" si="651"/>
        <v>0</v>
      </c>
      <c r="P459" s="148">
        <f t="shared" si="623"/>
        <v>0.10677333333333332</v>
      </c>
      <c r="Q459" s="147">
        <f t="shared" si="624"/>
        <v>0</v>
      </c>
      <c r="R459" s="147">
        <f t="shared" si="625"/>
        <v>0</v>
      </c>
      <c r="S459" s="147">
        <f t="shared" si="626"/>
        <v>0</v>
      </c>
      <c r="T459" s="200" t="str">
        <f t="shared" si="652"/>
        <v>V</v>
      </c>
      <c r="U459" s="214">
        <v>1</v>
      </c>
      <c r="V459" s="214">
        <v>1</v>
      </c>
      <c r="W459" s="214">
        <v>1</v>
      </c>
      <c r="X459" s="214">
        <v>1</v>
      </c>
      <c r="Y459" s="142"/>
      <c r="Z459" s="149">
        <f t="shared" si="637"/>
        <v>369.2</v>
      </c>
      <c r="AA459" s="150">
        <f t="shared" si="638"/>
        <v>0.75809066666666647</v>
      </c>
      <c r="AE459" s="582">
        <f t="shared" si="639"/>
        <v>0</v>
      </c>
      <c r="AF459" s="582">
        <f t="shared" si="640"/>
        <v>0</v>
      </c>
    </row>
    <row r="460" spans="2:32" ht="18" customHeight="1">
      <c r="B460" s="142" t="s">
        <v>468</v>
      </c>
      <c r="C460" s="221" t="s">
        <v>192</v>
      </c>
      <c r="D460" s="222">
        <v>0</v>
      </c>
      <c r="E460" s="210"/>
      <c r="F460" s="51" t="s">
        <v>262</v>
      </c>
      <c r="G460" s="63" t="s">
        <v>263</v>
      </c>
      <c r="H460" s="51" t="s">
        <v>76</v>
      </c>
      <c r="I460" s="51">
        <v>18.600000000000001</v>
      </c>
      <c r="J460" s="512">
        <v>1052</v>
      </c>
      <c r="K460" s="146">
        <f t="shared" si="647"/>
        <v>52</v>
      </c>
      <c r="L460" s="147">
        <f t="shared" si="648"/>
        <v>2.867463529411765</v>
      </c>
      <c r="M460" s="147">
        <f t="shared" si="649"/>
        <v>0</v>
      </c>
      <c r="N460" s="147">
        <f t="shared" si="650"/>
        <v>0</v>
      </c>
      <c r="O460" s="147">
        <f t="shared" si="651"/>
        <v>0</v>
      </c>
      <c r="P460" s="148">
        <f t="shared" si="623"/>
        <v>0.15416470588235295</v>
      </c>
      <c r="Q460" s="147">
        <f t="shared" si="624"/>
        <v>0</v>
      </c>
      <c r="R460" s="147">
        <f t="shared" si="625"/>
        <v>0</v>
      </c>
      <c r="S460" s="147">
        <f t="shared" si="626"/>
        <v>0</v>
      </c>
      <c r="T460" s="200" t="str">
        <f t="shared" si="652"/>
        <v>B</v>
      </c>
      <c r="U460" s="214">
        <v>1</v>
      </c>
      <c r="V460" s="214">
        <v>1</v>
      </c>
      <c r="W460" s="214">
        <v>1</v>
      </c>
      <c r="X460" s="214">
        <v>1</v>
      </c>
      <c r="Y460" s="142"/>
      <c r="Z460" s="149">
        <f t="shared" si="637"/>
        <v>967.2</v>
      </c>
      <c r="AA460" s="150">
        <f t="shared" si="638"/>
        <v>2.867463529411765</v>
      </c>
      <c r="AE460" s="582">
        <f t="shared" si="639"/>
        <v>0</v>
      </c>
      <c r="AF460" s="582">
        <f t="shared" si="640"/>
        <v>18.600000000000001</v>
      </c>
    </row>
    <row r="461" spans="2:32" ht="18" customHeight="1">
      <c r="B461" s="142" t="s">
        <v>468</v>
      </c>
      <c r="C461" s="221" t="s">
        <v>192</v>
      </c>
      <c r="D461" s="222">
        <v>0</v>
      </c>
      <c r="E461" s="210"/>
      <c r="F461" s="160" t="s">
        <v>281</v>
      </c>
      <c r="G461" s="224" t="s">
        <v>271</v>
      </c>
      <c r="H461" s="225" t="s">
        <v>296</v>
      </c>
      <c r="I461" s="225">
        <v>4.5999999999999996</v>
      </c>
      <c r="J461" s="226">
        <v>5052</v>
      </c>
      <c r="K461" s="146">
        <f t="shared" si="647"/>
        <v>52</v>
      </c>
      <c r="L461" s="147">
        <f t="shared" si="648"/>
        <v>1.0282785882352941</v>
      </c>
      <c r="M461" s="147">
        <f t="shared" si="649"/>
        <v>0</v>
      </c>
      <c r="N461" s="147">
        <f t="shared" si="650"/>
        <v>0</v>
      </c>
      <c r="O461" s="147">
        <f t="shared" si="651"/>
        <v>0</v>
      </c>
      <c r="P461" s="148">
        <f t="shared" si="623"/>
        <v>0.22353882352941176</v>
      </c>
      <c r="Q461" s="147">
        <f t="shared" si="624"/>
        <v>0</v>
      </c>
      <c r="R461" s="147">
        <f t="shared" si="625"/>
        <v>0</v>
      </c>
      <c r="S461" s="147">
        <f t="shared" si="626"/>
        <v>0</v>
      </c>
      <c r="T461" s="200" t="str">
        <f t="shared" si="652"/>
        <v>V</v>
      </c>
      <c r="U461" s="214">
        <v>1</v>
      </c>
      <c r="V461" s="214">
        <v>1</v>
      </c>
      <c r="W461" s="214">
        <v>1</v>
      </c>
      <c r="X461" s="214">
        <v>1</v>
      </c>
      <c r="Y461" s="142"/>
      <c r="Z461" s="149">
        <f t="shared" si="637"/>
        <v>239.2</v>
      </c>
      <c r="AA461" s="150">
        <f t="shared" si="638"/>
        <v>1.0282785882352941</v>
      </c>
      <c r="AE461" s="582">
        <f t="shared" si="639"/>
        <v>0</v>
      </c>
      <c r="AF461" s="582">
        <f t="shared" si="640"/>
        <v>0</v>
      </c>
    </row>
    <row r="462" spans="2:32" ht="18" customHeight="1">
      <c r="B462" s="142" t="s">
        <v>468</v>
      </c>
      <c r="C462" s="221" t="s">
        <v>192</v>
      </c>
      <c r="D462" s="222">
        <v>0</v>
      </c>
      <c r="E462" s="210"/>
      <c r="F462" s="227" t="s">
        <v>400</v>
      </c>
      <c r="G462" s="228" t="s">
        <v>271</v>
      </c>
      <c r="H462" s="229" t="s">
        <v>418</v>
      </c>
      <c r="I462" s="229">
        <v>3</v>
      </c>
      <c r="J462" s="230">
        <v>4052</v>
      </c>
      <c r="K462" s="146">
        <f t="shared" si="647"/>
        <v>52</v>
      </c>
      <c r="L462" s="147">
        <f t="shared" si="648"/>
        <v>1.0919999999999999</v>
      </c>
      <c r="M462" s="147">
        <f t="shared" si="649"/>
        <v>0</v>
      </c>
      <c r="N462" s="147">
        <f t="shared" si="650"/>
        <v>0</v>
      </c>
      <c r="O462" s="147">
        <f t="shared" si="651"/>
        <v>0</v>
      </c>
      <c r="P462" s="148">
        <f t="shared" si="623"/>
        <v>0.36399999999999993</v>
      </c>
      <c r="Q462" s="147">
        <f t="shared" si="624"/>
        <v>0</v>
      </c>
      <c r="R462" s="147">
        <f t="shared" si="625"/>
        <v>0</v>
      </c>
      <c r="S462" s="147">
        <f t="shared" si="626"/>
        <v>0</v>
      </c>
      <c r="T462" s="200" t="str">
        <f t="shared" si="652"/>
        <v>V</v>
      </c>
      <c r="U462" s="214">
        <v>1</v>
      </c>
      <c r="V462" s="214">
        <v>1</v>
      </c>
      <c r="W462" s="214">
        <v>1</v>
      </c>
      <c r="X462" s="214">
        <v>1</v>
      </c>
      <c r="Y462" s="142"/>
      <c r="Z462" s="149">
        <f t="shared" si="637"/>
        <v>156</v>
      </c>
      <c r="AA462" s="150">
        <f t="shared" si="638"/>
        <v>1.0919999999999999</v>
      </c>
      <c r="AE462" s="582">
        <f t="shared" si="639"/>
        <v>3</v>
      </c>
      <c r="AF462" s="582">
        <f t="shared" si="640"/>
        <v>0</v>
      </c>
    </row>
    <row r="463" spans="2:32" ht="18" customHeight="1">
      <c r="B463" s="142" t="s">
        <v>468</v>
      </c>
      <c r="C463" s="221" t="s">
        <v>192</v>
      </c>
      <c r="D463" s="222">
        <v>0</v>
      </c>
      <c r="E463" s="210"/>
      <c r="F463" s="227" t="s">
        <v>144</v>
      </c>
      <c r="G463" s="228" t="s">
        <v>271</v>
      </c>
      <c r="H463" s="229" t="s">
        <v>272</v>
      </c>
      <c r="I463" s="229">
        <v>10.3</v>
      </c>
      <c r="J463" s="230">
        <v>8052</v>
      </c>
      <c r="K463" s="146">
        <f t="shared" si="647"/>
        <v>52</v>
      </c>
      <c r="L463" s="147">
        <f t="shared" si="648"/>
        <v>5.8810980392156864</v>
      </c>
      <c r="M463" s="147">
        <f t="shared" si="649"/>
        <v>0</v>
      </c>
      <c r="N463" s="147">
        <f t="shared" si="650"/>
        <v>0</v>
      </c>
      <c r="O463" s="147">
        <f t="shared" si="651"/>
        <v>0</v>
      </c>
      <c r="P463" s="148">
        <f t="shared" si="623"/>
        <v>0.57098039215686269</v>
      </c>
      <c r="Q463" s="147">
        <f t="shared" si="624"/>
        <v>0</v>
      </c>
      <c r="R463" s="147">
        <f t="shared" si="625"/>
        <v>0</v>
      </c>
      <c r="S463" s="147">
        <f t="shared" si="626"/>
        <v>0</v>
      </c>
      <c r="T463" s="200" t="str">
        <f t="shared" si="652"/>
        <v>V</v>
      </c>
      <c r="U463" s="214">
        <v>1</v>
      </c>
      <c r="V463" s="214">
        <v>1</v>
      </c>
      <c r="W463" s="214">
        <v>1</v>
      </c>
      <c r="X463" s="214">
        <v>1</v>
      </c>
      <c r="Y463" s="142"/>
      <c r="Z463" s="149">
        <f t="shared" si="637"/>
        <v>535.6</v>
      </c>
      <c r="AA463" s="150">
        <f t="shared" si="638"/>
        <v>5.8810980392156864</v>
      </c>
      <c r="AE463" s="582">
        <f t="shared" si="639"/>
        <v>0</v>
      </c>
      <c r="AF463" s="582">
        <f t="shared" si="640"/>
        <v>0</v>
      </c>
    </row>
    <row r="464" spans="2:32" ht="18" customHeight="1">
      <c r="B464" s="142" t="s">
        <v>468</v>
      </c>
      <c r="C464" s="221" t="s">
        <v>192</v>
      </c>
      <c r="D464" s="143">
        <v>1</v>
      </c>
      <c r="E464" s="210"/>
      <c r="F464" s="160" t="s">
        <v>412</v>
      </c>
      <c r="G464" s="224" t="s">
        <v>271</v>
      </c>
      <c r="H464" s="225" t="s">
        <v>76</v>
      </c>
      <c r="I464" s="225">
        <v>53</v>
      </c>
      <c r="J464" s="226">
        <v>18052</v>
      </c>
      <c r="K464" s="146">
        <f t="shared" si="647"/>
        <v>52</v>
      </c>
      <c r="L464" s="147">
        <f t="shared" si="648"/>
        <v>8.6851827450980377</v>
      </c>
      <c r="M464" s="147">
        <f t="shared" si="649"/>
        <v>0</v>
      </c>
      <c r="N464" s="147">
        <f t="shared" si="650"/>
        <v>0</v>
      </c>
      <c r="O464" s="147">
        <f t="shared" si="651"/>
        <v>0</v>
      </c>
      <c r="P464" s="148">
        <f t="shared" si="623"/>
        <v>0.16387137254901959</v>
      </c>
      <c r="Q464" s="147">
        <f t="shared" si="624"/>
        <v>0</v>
      </c>
      <c r="R464" s="147">
        <f t="shared" si="625"/>
        <v>0</v>
      </c>
      <c r="S464" s="147">
        <f t="shared" si="626"/>
        <v>0</v>
      </c>
      <c r="T464" s="200" t="str">
        <f t="shared" si="652"/>
        <v>V</v>
      </c>
      <c r="U464" s="214">
        <v>1</v>
      </c>
      <c r="V464" s="214">
        <v>1</v>
      </c>
      <c r="W464" s="214">
        <v>1</v>
      </c>
      <c r="X464" s="214">
        <v>1</v>
      </c>
      <c r="Y464" s="142"/>
      <c r="Z464" s="149">
        <f t="shared" si="637"/>
        <v>2756</v>
      </c>
      <c r="AA464" s="150">
        <f t="shared" si="638"/>
        <v>8.6851827450980377</v>
      </c>
      <c r="AE464" s="582">
        <f t="shared" si="639"/>
        <v>0</v>
      </c>
      <c r="AF464" s="582">
        <f t="shared" si="640"/>
        <v>53</v>
      </c>
    </row>
    <row r="465" spans="2:32" ht="18" customHeight="1">
      <c r="B465" s="142" t="s">
        <v>468</v>
      </c>
      <c r="C465" s="221" t="s">
        <v>192</v>
      </c>
      <c r="D465" s="143">
        <v>1</v>
      </c>
      <c r="E465" s="210"/>
      <c r="F465" s="227" t="s">
        <v>561</v>
      </c>
      <c r="G465" s="228" t="s">
        <v>271</v>
      </c>
      <c r="H465" s="229" t="s">
        <v>76</v>
      </c>
      <c r="I465" s="229">
        <v>24.2</v>
      </c>
      <c r="J465" s="230">
        <v>18052</v>
      </c>
      <c r="K465" s="146">
        <f t="shared" si="647"/>
        <v>52</v>
      </c>
      <c r="L465" s="147">
        <f t="shared" si="648"/>
        <v>3.9656872156862741</v>
      </c>
      <c r="M465" s="147">
        <f t="shared" si="649"/>
        <v>0</v>
      </c>
      <c r="N465" s="147">
        <f t="shared" si="650"/>
        <v>0</v>
      </c>
      <c r="O465" s="147">
        <f t="shared" si="651"/>
        <v>0</v>
      </c>
      <c r="P465" s="148">
        <f t="shared" si="623"/>
        <v>0.16387137254901959</v>
      </c>
      <c r="Q465" s="147">
        <f t="shared" si="624"/>
        <v>0</v>
      </c>
      <c r="R465" s="147">
        <f t="shared" si="625"/>
        <v>0</v>
      </c>
      <c r="S465" s="147">
        <f t="shared" si="626"/>
        <v>0</v>
      </c>
      <c r="T465" s="200" t="str">
        <f t="shared" si="652"/>
        <v>V</v>
      </c>
      <c r="U465" s="214">
        <v>1</v>
      </c>
      <c r="V465" s="214">
        <v>1</v>
      </c>
      <c r="W465" s="214">
        <v>1</v>
      </c>
      <c r="X465" s="214">
        <v>1</v>
      </c>
      <c r="Y465" s="142"/>
      <c r="Z465" s="149">
        <f t="shared" si="637"/>
        <v>1258.3999999999999</v>
      </c>
      <c r="AA465" s="150">
        <f t="shared" si="638"/>
        <v>3.9656872156862741</v>
      </c>
      <c r="AE465" s="582">
        <f t="shared" si="639"/>
        <v>0</v>
      </c>
      <c r="AF465" s="582">
        <f t="shared" si="640"/>
        <v>24.2</v>
      </c>
    </row>
    <row r="466" spans="2:32" ht="18" customHeight="1">
      <c r="B466" s="142" t="s">
        <v>468</v>
      </c>
      <c r="C466" s="221" t="s">
        <v>192</v>
      </c>
      <c r="D466" s="143">
        <v>1</v>
      </c>
      <c r="E466" s="210"/>
      <c r="F466" s="227" t="s">
        <v>353</v>
      </c>
      <c r="G466" s="228" t="s">
        <v>271</v>
      </c>
      <c r="H466" s="229" t="s">
        <v>76</v>
      </c>
      <c r="I466" s="229">
        <v>11.3</v>
      </c>
      <c r="J466" s="230">
        <v>3052</v>
      </c>
      <c r="K466" s="146">
        <f t="shared" si="647"/>
        <v>52</v>
      </c>
      <c r="L466" s="147">
        <f t="shared" si="648"/>
        <v>1.2065386666666666</v>
      </c>
      <c r="M466" s="147">
        <f t="shared" si="649"/>
        <v>0</v>
      </c>
      <c r="N466" s="147">
        <f t="shared" si="650"/>
        <v>0</v>
      </c>
      <c r="O466" s="147">
        <f t="shared" si="651"/>
        <v>0</v>
      </c>
      <c r="P466" s="148">
        <f t="shared" si="623"/>
        <v>0.10677333333333332</v>
      </c>
      <c r="Q466" s="147">
        <f t="shared" si="624"/>
        <v>0</v>
      </c>
      <c r="R466" s="147">
        <f t="shared" si="625"/>
        <v>0</v>
      </c>
      <c r="S466" s="147">
        <f t="shared" si="626"/>
        <v>0</v>
      </c>
      <c r="T466" s="200" t="str">
        <f t="shared" si="652"/>
        <v>V</v>
      </c>
      <c r="U466" s="214">
        <v>1</v>
      </c>
      <c r="V466" s="214">
        <v>1</v>
      </c>
      <c r="W466" s="214">
        <v>1</v>
      </c>
      <c r="X466" s="214">
        <v>1</v>
      </c>
      <c r="Y466" s="142"/>
      <c r="Z466" s="149">
        <f t="shared" si="637"/>
        <v>587.6</v>
      </c>
      <c r="AA466" s="150">
        <f t="shared" si="638"/>
        <v>1.2065386666666666</v>
      </c>
      <c r="AE466" s="582">
        <f t="shared" si="639"/>
        <v>0</v>
      </c>
      <c r="AF466" s="582">
        <f t="shared" si="640"/>
        <v>11.3</v>
      </c>
    </row>
    <row r="467" spans="2:32" ht="18" customHeight="1">
      <c r="B467" s="142" t="s">
        <v>468</v>
      </c>
      <c r="C467" s="221" t="s">
        <v>192</v>
      </c>
      <c r="D467" s="143">
        <v>1</v>
      </c>
      <c r="E467" s="210"/>
      <c r="F467" s="160" t="s">
        <v>281</v>
      </c>
      <c r="G467" s="224" t="s">
        <v>271</v>
      </c>
      <c r="H467" s="225" t="s">
        <v>76</v>
      </c>
      <c r="I467" s="225">
        <v>4.5999999999999996</v>
      </c>
      <c r="J467" s="226">
        <v>5052</v>
      </c>
      <c r="K467" s="146">
        <f t="shared" si="647"/>
        <v>52</v>
      </c>
      <c r="L467" s="147">
        <f t="shared" si="648"/>
        <v>1.0282785882352941</v>
      </c>
      <c r="M467" s="147">
        <f t="shared" si="649"/>
        <v>0</v>
      </c>
      <c r="N467" s="147">
        <f t="shared" si="650"/>
        <v>0</v>
      </c>
      <c r="O467" s="147">
        <f t="shared" si="651"/>
        <v>0</v>
      </c>
      <c r="P467" s="148">
        <f t="shared" si="623"/>
        <v>0.22353882352941176</v>
      </c>
      <c r="Q467" s="147">
        <f t="shared" si="624"/>
        <v>0</v>
      </c>
      <c r="R467" s="147">
        <f t="shared" si="625"/>
        <v>0</v>
      </c>
      <c r="S467" s="147">
        <f t="shared" si="626"/>
        <v>0</v>
      </c>
      <c r="T467" s="200" t="str">
        <f t="shared" si="652"/>
        <v>V</v>
      </c>
      <c r="U467" s="214">
        <v>1</v>
      </c>
      <c r="V467" s="214">
        <v>1</v>
      </c>
      <c r="W467" s="214">
        <v>1</v>
      </c>
      <c r="X467" s="214">
        <v>1</v>
      </c>
      <c r="Y467" s="142"/>
      <c r="Z467" s="149">
        <f t="shared" si="637"/>
        <v>239.2</v>
      </c>
      <c r="AA467" s="150">
        <f t="shared" si="638"/>
        <v>1.0282785882352941</v>
      </c>
      <c r="AE467" s="582">
        <f t="shared" si="639"/>
        <v>0</v>
      </c>
      <c r="AF467" s="582">
        <f t="shared" si="640"/>
        <v>4.5999999999999996</v>
      </c>
    </row>
    <row r="468" spans="2:32" ht="18" customHeight="1">
      <c r="B468" s="142" t="s">
        <v>468</v>
      </c>
      <c r="C468" s="221" t="s">
        <v>193</v>
      </c>
      <c r="D468" s="222">
        <v>0</v>
      </c>
      <c r="E468" s="51"/>
      <c r="F468" s="51" t="s">
        <v>339</v>
      </c>
      <c r="G468" s="63" t="s">
        <v>271</v>
      </c>
      <c r="H468" s="51" t="s">
        <v>401</v>
      </c>
      <c r="I468" s="51">
        <v>103.8</v>
      </c>
      <c r="J468" s="213">
        <v>3255</v>
      </c>
      <c r="K468" s="146">
        <f t="shared" si="641"/>
        <v>255</v>
      </c>
      <c r="L468" s="147">
        <f t="shared" si="642"/>
        <v>38.821199999999997</v>
      </c>
      <c r="M468" s="147">
        <f t="shared" si="643"/>
        <v>0</v>
      </c>
      <c r="N468" s="147">
        <f t="shared" si="644"/>
        <v>0</v>
      </c>
      <c r="O468" s="147">
        <f t="shared" si="645"/>
        <v>0</v>
      </c>
      <c r="P468" s="148">
        <f t="shared" si="623"/>
        <v>0.374</v>
      </c>
      <c r="Q468" s="147">
        <f t="shared" si="624"/>
        <v>0</v>
      </c>
      <c r="R468" s="147">
        <f t="shared" si="625"/>
        <v>0</v>
      </c>
      <c r="S468" s="147">
        <f t="shared" si="626"/>
        <v>0</v>
      </c>
      <c r="T468" s="200" t="str">
        <f t="shared" si="646"/>
        <v>V</v>
      </c>
      <c r="U468" s="214">
        <v>1</v>
      </c>
      <c r="V468" s="214">
        <v>1</v>
      </c>
      <c r="W468" s="214">
        <v>1</v>
      </c>
      <c r="X468" s="214">
        <v>1</v>
      </c>
      <c r="Y468" s="142"/>
      <c r="Z468" s="149">
        <f t="shared" si="637"/>
        <v>26469</v>
      </c>
      <c r="AA468" s="150">
        <f t="shared" si="638"/>
        <v>38.821199999999997</v>
      </c>
      <c r="AE468" s="582">
        <f t="shared" si="639"/>
        <v>0</v>
      </c>
      <c r="AF468" s="582">
        <f t="shared" si="640"/>
        <v>0</v>
      </c>
    </row>
    <row r="469" spans="2:32" ht="18" customHeight="1">
      <c r="B469" s="142" t="s">
        <v>468</v>
      </c>
      <c r="C469" s="221" t="s">
        <v>193</v>
      </c>
      <c r="D469" s="222">
        <v>0</v>
      </c>
      <c r="E469" s="51"/>
      <c r="F469" s="51" t="s">
        <v>313</v>
      </c>
      <c r="G469" s="63" t="s">
        <v>263</v>
      </c>
      <c r="H469" s="51" t="s">
        <v>76</v>
      </c>
      <c r="I469" s="51">
        <v>37.799999999999997</v>
      </c>
      <c r="J469" s="213">
        <v>1104</v>
      </c>
      <c r="K469" s="146">
        <f t="shared" si="641"/>
        <v>104</v>
      </c>
      <c r="L469" s="147">
        <f t="shared" si="642"/>
        <v>9.9898729411764702</v>
      </c>
      <c r="M469" s="147">
        <f t="shared" si="643"/>
        <v>0</v>
      </c>
      <c r="N469" s="147">
        <f t="shared" si="644"/>
        <v>0</v>
      </c>
      <c r="O469" s="147">
        <f t="shared" si="645"/>
        <v>0</v>
      </c>
      <c r="P469" s="148">
        <f t="shared" si="623"/>
        <v>0.26428235294117647</v>
      </c>
      <c r="Q469" s="147">
        <f t="shared" si="624"/>
        <v>0</v>
      </c>
      <c r="R469" s="147">
        <f t="shared" si="625"/>
        <v>0</v>
      </c>
      <c r="S469" s="147">
        <f t="shared" si="626"/>
        <v>0</v>
      </c>
      <c r="T469" s="200" t="str">
        <f t="shared" si="646"/>
        <v>B</v>
      </c>
      <c r="U469" s="214">
        <v>1</v>
      </c>
      <c r="V469" s="214">
        <v>1</v>
      </c>
      <c r="W469" s="214">
        <v>1</v>
      </c>
      <c r="X469" s="214">
        <v>1</v>
      </c>
      <c r="Y469" s="142"/>
      <c r="Z469" s="149">
        <f t="shared" si="637"/>
        <v>3931.2</v>
      </c>
      <c r="AA469" s="150">
        <f t="shared" si="638"/>
        <v>9.9898729411764702</v>
      </c>
      <c r="AE469" s="582">
        <f t="shared" si="639"/>
        <v>0</v>
      </c>
      <c r="AF469" s="582">
        <f t="shared" si="640"/>
        <v>37.799999999999997</v>
      </c>
    </row>
    <row r="470" spans="2:32" ht="18" customHeight="1">
      <c r="B470" s="142" t="s">
        <v>468</v>
      </c>
      <c r="C470" s="221" t="s">
        <v>193</v>
      </c>
      <c r="D470" s="222">
        <v>0</v>
      </c>
      <c r="E470" s="51"/>
      <c r="F470" s="51" t="s">
        <v>262</v>
      </c>
      <c r="G470" s="63" t="s">
        <v>263</v>
      </c>
      <c r="H470" s="51" t="s">
        <v>76</v>
      </c>
      <c r="I470" s="51">
        <v>66.2</v>
      </c>
      <c r="J470" s="213">
        <v>1104</v>
      </c>
      <c r="K470" s="146">
        <f t="shared" si="641"/>
        <v>104</v>
      </c>
      <c r="L470" s="147">
        <f t="shared" si="642"/>
        <v>17.495491764705882</v>
      </c>
      <c r="M470" s="147">
        <f t="shared" si="643"/>
        <v>0</v>
      </c>
      <c r="N470" s="147">
        <f t="shared" si="644"/>
        <v>0</v>
      </c>
      <c r="O470" s="147">
        <f t="shared" si="645"/>
        <v>0</v>
      </c>
      <c r="P470" s="148">
        <f t="shared" si="623"/>
        <v>0.26428235294117647</v>
      </c>
      <c r="Q470" s="147">
        <f t="shared" si="624"/>
        <v>0</v>
      </c>
      <c r="R470" s="147">
        <f t="shared" si="625"/>
        <v>0</v>
      </c>
      <c r="S470" s="147">
        <f t="shared" si="626"/>
        <v>0</v>
      </c>
      <c r="T470" s="200" t="str">
        <f t="shared" si="646"/>
        <v>B</v>
      </c>
      <c r="U470" s="214">
        <v>1</v>
      </c>
      <c r="V470" s="214">
        <v>1</v>
      </c>
      <c r="W470" s="214">
        <v>1</v>
      </c>
      <c r="X470" s="214">
        <v>1</v>
      </c>
      <c r="Y470" s="142"/>
      <c r="Z470" s="149">
        <f t="shared" si="637"/>
        <v>6884.8</v>
      </c>
      <c r="AA470" s="150">
        <f t="shared" si="638"/>
        <v>17.495491764705882</v>
      </c>
      <c r="AE470" s="582">
        <f t="shared" si="639"/>
        <v>0</v>
      </c>
      <c r="AF470" s="582">
        <f t="shared" si="640"/>
        <v>66.2</v>
      </c>
    </row>
    <row r="471" spans="2:32" ht="18" customHeight="1">
      <c r="B471" s="142" t="s">
        <v>468</v>
      </c>
      <c r="C471" s="221" t="s">
        <v>193</v>
      </c>
      <c r="D471" s="222">
        <v>0</v>
      </c>
      <c r="E471" s="51"/>
      <c r="F471" s="51" t="s">
        <v>410</v>
      </c>
      <c r="G471" s="63" t="s">
        <v>271</v>
      </c>
      <c r="H471" s="51" t="s">
        <v>76</v>
      </c>
      <c r="I471" s="51">
        <v>10</v>
      </c>
      <c r="J471" s="213">
        <v>3104</v>
      </c>
      <c r="K471" s="146">
        <f t="shared" si="641"/>
        <v>104</v>
      </c>
      <c r="L471" s="147">
        <f t="shared" si="642"/>
        <v>1.8303999999999998</v>
      </c>
      <c r="M471" s="147">
        <f t="shared" si="643"/>
        <v>0</v>
      </c>
      <c r="N471" s="147">
        <f t="shared" si="644"/>
        <v>0</v>
      </c>
      <c r="O471" s="147">
        <f t="shared" si="645"/>
        <v>0</v>
      </c>
      <c r="P471" s="148">
        <f t="shared" si="623"/>
        <v>0.18303999999999998</v>
      </c>
      <c r="Q471" s="147">
        <f t="shared" si="624"/>
        <v>0</v>
      </c>
      <c r="R471" s="147">
        <f t="shared" si="625"/>
        <v>0</v>
      </c>
      <c r="S471" s="147">
        <f t="shared" si="626"/>
        <v>0</v>
      </c>
      <c r="T471" s="200" t="str">
        <f t="shared" si="646"/>
        <v>V</v>
      </c>
      <c r="U471" s="214">
        <v>1</v>
      </c>
      <c r="V471" s="214">
        <v>1</v>
      </c>
      <c r="W471" s="214">
        <v>1</v>
      </c>
      <c r="X471" s="214">
        <v>1</v>
      </c>
      <c r="Y471" s="142"/>
      <c r="Z471" s="149">
        <f t="shared" si="637"/>
        <v>1040</v>
      </c>
      <c r="AA471" s="150">
        <f t="shared" si="638"/>
        <v>1.8303999999999998</v>
      </c>
      <c r="AE471" s="582">
        <f t="shared" si="639"/>
        <v>0</v>
      </c>
      <c r="AF471" s="582">
        <f t="shared" si="640"/>
        <v>10</v>
      </c>
    </row>
    <row r="472" spans="2:32" ht="18" customHeight="1">
      <c r="B472" s="142" t="s">
        <v>468</v>
      </c>
      <c r="C472" s="221" t="s">
        <v>193</v>
      </c>
      <c r="D472" s="222">
        <v>0</v>
      </c>
      <c r="E472" s="51"/>
      <c r="F472" s="51" t="s">
        <v>144</v>
      </c>
      <c r="G472" s="63" t="s">
        <v>271</v>
      </c>
      <c r="H472" s="51" t="s">
        <v>76</v>
      </c>
      <c r="I472" s="51">
        <v>7.1</v>
      </c>
      <c r="J472" s="213">
        <v>8255</v>
      </c>
      <c r="K472" s="146">
        <f t="shared" si="641"/>
        <v>255</v>
      </c>
      <c r="L472" s="147">
        <f t="shared" si="642"/>
        <v>14.2</v>
      </c>
      <c r="M472" s="147">
        <f t="shared" si="643"/>
        <v>0</v>
      </c>
      <c r="N472" s="147">
        <f t="shared" si="644"/>
        <v>0</v>
      </c>
      <c r="O472" s="147">
        <f t="shared" si="645"/>
        <v>0</v>
      </c>
      <c r="P472" s="148">
        <f t="shared" si="623"/>
        <v>2</v>
      </c>
      <c r="Q472" s="147">
        <f t="shared" si="624"/>
        <v>0</v>
      </c>
      <c r="R472" s="147">
        <f t="shared" si="625"/>
        <v>0</v>
      </c>
      <c r="S472" s="147">
        <f t="shared" si="626"/>
        <v>0</v>
      </c>
      <c r="T472" s="200" t="str">
        <f t="shared" si="646"/>
        <v>V</v>
      </c>
      <c r="U472" s="214">
        <v>1</v>
      </c>
      <c r="V472" s="214">
        <v>1</v>
      </c>
      <c r="W472" s="214">
        <v>1</v>
      </c>
      <c r="X472" s="214">
        <v>1</v>
      </c>
      <c r="Y472" s="142"/>
      <c r="Z472" s="149">
        <f t="shared" si="637"/>
        <v>1810.5</v>
      </c>
      <c r="AA472" s="150">
        <f t="shared" si="638"/>
        <v>14.2</v>
      </c>
      <c r="AE472" s="582">
        <f t="shared" si="639"/>
        <v>0</v>
      </c>
      <c r="AF472" s="582">
        <f t="shared" si="640"/>
        <v>7.1</v>
      </c>
    </row>
    <row r="473" spans="2:32" ht="18" customHeight="1">
      <c r="B473" s="142" t="s">
        <v>468</v>
      </c>
      <c r="C473" s="221" t="s">
        <v>193</v>
      </c>
      <c r="D473" s="222">
        <v>0</v>
      </c>
      <c r="E473" s="51"/>
      <c r="F473" s="51" t="s">
        <v>363</v>
      </c>
      <c r="G473" s="63" t="s">
        <v>266</v>
      </c>
      <c r="H473" s="51" t="s">
        <v>272</v>
      </c>
      <c r="I473" s="51">
        <v>3.7</v>
      </c>
      <c r="J473" s="213">
        <v>2255</v>
      </c>
      <c r="K473" s="146">
        <f t="shared" si="641"/>
        <v>255</v>
      </c>
      <c r="L473" s="147">
        <f t="shared" si="642"/>
        <v>11.869600000000002</v>
      </c>
      <c r="M473" s="147">
        <f t="shared" si="643"/>
        <v>0</v>
      </c>
      <c r="N473" s="147">
        <f t="shared" si="644"/>
        <v>0</v>
      </c>
      <c r="O473" s="147">
        <f t="shared" si="645"/>
        <v>0</v>
      </c>
      <c r="P473" s="148">
        <f t="shared" si="623"/>
        <v>3.2080000000000002</v>
      </c>
      <c r="Q473" s="147">
        <f t="shared" si="624"/>
        <v>0</v>
      </c>
      <c r="R473" s="147">
        <f t="shared" si="625"/>
        <v>0</v>
      </c>
      <c r="S473" s="147">
        <f t="shared" si="626"/>
        <v>0</v>
      </c>
      <c r="T473" s="200" t="str">
        <f t="shared" si="646"/>
        <v>S</v>
      </c>
      <c r="U473" s="214">
        <v>1</v>
      </c>
      <c r="V473" s="214">
        <v>1</v>
      </c>
      <c r="W473" s="214">
        <v>1</v>
      </c>
      <c r="X473" s="214">
        <v>1</v>
      </c>
      <c r="Y473" s="142"/>
      <c r="Z473" s="149">
        <f t="shared" si="637"/>
        <v>943.5</v>
      </c>
      <c r="AA473" s="150">
        <f t="shared" si="638"/>
        <v>11.869600000000002</v>
      </c>
      <c r="AE473" s="582">
        <f t="shared" si="639"/>
        <v>0</v>
      </c>
      <c r="AF473" s="582">
        <f t="shared" si="640"/>
        <v>0</v>
      </c>
    </row>
    <row r="474" spans="2:32" ht="18" customHeight="1">
      <c r="B474" s="142" t="s">
        <v>468</v>
      </c>
      <c r="C474" s="221" t="s">
        <v>193</v>
      </c>
      <c r="D474" s="222">
        <v>0</v>
      </c>
      <c r="E474" s="51"/>
      <c r="F474" s="51" t="s">
        <v>363</v>
      </c>
      <c r="G474" s="63" t="s">
        <v>266</v>
      </c>
      <c r="H474" s="51" t="s">
        <v>272</v>
      </c>
      <c r="I474" s="51">
        <v>6.6</v>
      </c>
      <c r="J474" s="213">
        <v>2255</v>
      </c>
      <c r="K474" s="146">
        <f t="shared" si="641"/>
        <v>255</v>
      </c>
      <c r="L474" s="147">
        <f t="shared" si="642"/>
        <v>21.172799999999999</v>
      </c>
      <c r="M474" s="147">
        <f t="shared" si="643"/>
        <v>0</v>
      </c>
      <c r="N474" s="147">
        <f t="shared" si="644"/>
        <v>0</v>
      </c>
      <c r="O474" s="147">
        <f t="shared" si="645"/>
        <v>0</v>
      </c>
      <c r="P474" s="148">
        <f t="shared" si="623"/>
        <v>3.2080000000000002</v>
      </c>
      <c r="Q474" s="147">
        <f t="shared" si="624"/>
        <v>0</v>
      </c>
      <c r="R474" s="147">
        <f t="shared" si="625"/>
        <v>0</v>
      </c>
      <c r="S474" s="147">
        <f t="shared" si="626"/>
        <v>0</v>
      </c>
      <c r="T474" s="200" t="str">
        <f t="shared" si="646"/>
        <v>S</v>
      </c>
      <c r="U474" s="214">
        <v>1</v>
      </c>
      <c r="V474" s="214">
        <v>1</v>
      </c>
      <c r="W474" s="214">
        <v>1</v>
      </c>
      <c r="X474" s="214">
        <v>1</v>
      </c>
      <c r="Y474" s="142"/>
      <c r="Z474" s="149">
        <f t="shared" si="637"/>
        <v>1683</v>
      </c>
      <c r="AA474" s="150">
        <f t="shared" si="638"/>
        <v>21.172799999999999</v>
      </c>
      <c r="AE474" s="582">
        <f t="shared" si="639"/>
        <v>0</v>
      </c>
      <c r="AF474" s="582">
        <f t="shared" si="640"/>
        <v>0</v>
      </c>
    </row>
    <row r="475" spans="2:32" ht="18" customHeight="1">
      <c r="B475" s="142" t="s">
        <v>468</v>
      </c>
      <c r="C475" s="221" t="s">
        <v>193</v>
      </c>
      <c r="D475" s="222">
        <v>0</v>
      </c>
      <c r="E475" s="51"/>
      <c r="F475" s="51" t="s">
        <v>363</v>
      </c>
      <c r="G475" s="63" t="s">
        <v>266</v>
      </c>
      <c r="H475" s="51" t="s">
        <v>272</v>
      </c>
      <c r="I475" s="51">
        <v>6</v>
      </c>
      <c r="J475" s="213">
        <v>2255</v>
      </c>
      <c r="K475" s="146">
        <f t="shared" si="641"/>
        <v>255</v>
      </c>
      <c r="L475" s="147">
        <f t="shared" si="642"/>
        <v>19.248000000000001</v>
      </c>
      <c r="M475" s="147">
        <f t="shared" si="643"/>
        <v>0</v>
      </c>
      <c r="N475" s="147">
        <f t="shared" si="644"/>
        <v>0</v>
      </c>
      <c r="O475" s="147">
        <f t="shared" si="645"/>
        <v>0</v>
      </c>
      <c r="P475" s="148">
        <f t="shared" si="623"/>
        <v>3.2080000000000002</v>
      </c>
      <c r="Q475" s="147">
        <f t="shared" si="624"/>
        <v>0</v>
      </c>
      <c r="R475" s="147">
        <f t="shared" si="625"/>
        <v>0</v>
      </c>
      <c r="S475" s="147">
        <f t="shared" si="626"/>
        <v>0</v>
      </c>
      <c r="T475" s="200" t="str">
        <f t="shared" si="646"/>
        <v>S</v>
      </c>
      <c r="U475" s="214">
        <v>1</v>
      </c>
      <c r="V475" s="214">
        <v>1</v>
      </c>
      <c r="W475" s="214">
        <v>1</v>
      </c>
      <c r="X475" s="214">
        <v>1</v>
      </c>
      <c r="Y475" s="142"/>
      <c r="Z475" s="149">
        <f t="shared" si="637"/>
        <v>1530</v>
      </c>
      <c r="AA475" s="150">
        <f t="shared" si="638"/>
        <v>19.248000000000001</v>
      </c>
      <c r="AE475" s="582">
        <f t="shared" si="639"/>
        <v>0</v>
      </c>
      <c r="AF475" s="582">
        <f t="shared" si="640"/>
        <v>0</v>
      </c>
    </row>
    <row r="476" spans="2:32" ht="18" customHeight="1">
      <c r="B476" s="142" t="s">
        <v>468</v>
      </c>
      <c r="C476" s="221" t="s">
        <v>193</v>
      </c>
      <c r="D476" s="222">
        <v>0</v>
      </c>
      <c r="E476" s="51"/>
      <c r="F476" s="51" t="s">
        <v>493</v>
      </c>
      <c r="G476" s="63" t="s">
        <v>271</v>
      </c>
      <c r="H476" s="51" t="s">
        <v>301</v>
      </c>
      <c r="I476" s="51">
        <v>1</v>
      </c>
      <c r="J476" s="213" t="s">
        <v>161</v>
      </c>
      <c r="K476" s="146">
        <f t="shared" si="641"/>
        <v>0</v>
      </c>
      <c r="L476" s="147">
        <f t="shared" si="642"/>
        <v>0</v>
      </c>
      <c r="M476" s="147">
        <f t="shared" si="643"/>
        <v>0</v>
      </c>
      <c r="N476" s="147">
        <f t="shared" si="644"/>
        <v>0</v>
      </c>
      <c r="O476" s="147">
        <f t="shared" si="645"/>
        <v>0</v>
      </c>
      <c r="P476" s="148">
        <f t="shared" si="623"/>
        <v>0</v>
      </c>
      <c r="Q476" s="147">
        <f t="shared" si="624"/>
        <v>0</v>
      </c>
      <c r="R476" s="147">
        <f t="shared" si="625"/>
        <v>0</v>
      </c>
      <c r="S476" s="147">
        <f t="shared" si="626"/>
        <v>0</v>
      </c>
      <c r="T476" s="200" t="str">
        <f t="shared" si="646"/>
        <v>nvt</v>
      </c>
      <c r="U476" s="214">
        <v>1</v>
      </c>
      <c r="V476" s="214">
        <v>1</v>
      </c>
      <c r="W476" s="214">
        <v>1</v>
      </c>
      <c r="X476" s="214">
        <v>1</v>
      </c>
      <c r="Y476" s="142"/>
      <c r="Z476" s="149">
        <f t="shared" si="637"/>
        <v>0</v>
      </c>
      <c r="AA476" s="150">
        <f t="shared" si="638"/>
        <v>0</v>
      </c>
      <c r="AE476" s="582">
        <f t="shared" si="639"/>
        <v>0</v>
      </c>
      <c r="AF476" s="582">
        <f t="shared" si="640"/>
        <v>0</v>
      </c>
    </row>
    <row r="477" spans="2:32" ht="18" customHeight="1">
      <c r="B477" s="142" t="s">
        <v>468</v>
      </c>
      <c r="C477" s="221" t="s">
        <v>193</v>
      </c>
      <c r="D477" s="222">
        <v>0</v>
      </c>
      <c r="E477" s="51"/>
      <c r="F477" s="51" t="s">
        <v>262</v>
      </c>
      <c r="G477" s="63" t="s">
        <v>263</v>
      </c>
      <c r="H477" s="51" t="s">
        <v>76</v>
      </c>
      <c r="I477" s="51">
        <v>8.4</v>
      </c>
      <c r="J477" s="213">
        <v>1104</v>
      </c>
      <c r="K477" s="146">
        <f t="shared" si="641"/>
        <v>104</v>
      </c>
      <c r="L477" s="147">
        <f t="shared" si="642"/>
        <v>2.2199717647058823</v>
      </c>
      <c r="M477" s="147">
        <f t="shared" si="643"/>
        <v>0</v>
      </c>
      <c r="N477" s="147">
        <f t="shared" si="644"/>
        <v>0</v>
      </c>
      <c r="O477" s="147">
        <f t="shared" si="645"/>
        <v>0</v>
      </c>
      <c r="P477" s="148">
        <f t="shared" si="623"/>
        <v>0.26428235294117647</v>
      </c>
      <c r="Q477" s="147">
        <f t="shared" si="624"/>
        <v>0</v>
      </c>
      <c r="R477" s="147">
        <f t="shared" si="625"/>
        <v>0</v>
      </c>
      <c r="S477" s="147">
        <f t="shared" si="626"/>
        <v>0</v>
      </c>
      <c r="T477" s="200" t="str">
        <f t="shared" si="646"/>
        <v>B</v>
      </c>
      <c r="U477" s="214">
        <v>1</v>
      </c>
      <c r="V477" s="214">
        <v>1</v>
      </c>
      <c r="W477" s="214">
        <v>1</v>
      </c>
      <c r="X477" s="214">
        <v>1</v>
      </c>
      <c r="Y477" s="142"/>
      <c r="Z477" s="149">
        <f t="shared" si="637"/>
        <v>873.6</v>
      </c>
      <c r="AA477" s="150">
        <f t="shared" si="638"/>
        <v>2.2199717647058823</v>
      </c>
      <c r="AE477" s="582">
        <f t="shared" si="639"/>
        <v>0</v>
      </c>
      <c r="AF477" s="582">
        <f t="shared" si="640"/>
        <v>8.4</v>
      </c>
    </row>
    <row r="478" spans="2:32" ht="18" customHeight="1">
      <c r="B478" s="142" t="s">
        <v>468</v>
      </c>
      <c r="C478" s="221" t="s">
        <v>193</v>
      </c>
      <c r="D478" s="222">
        <v>0</v>
      </c>
      <c r="E478" s="51"/>
      <c r="F478" s="51" t="s">
        <v>262</v>
      </c>
      <c r="G478" s="63" t="s">
        <v>263</v>
      </c>
      <c r="H478" s="51" t="s">
        <v>76</v>
      </c>
      <c r="I478" s="51">
        <v>8.5</v>
      </c>
      <c r="J478" s="213">
        <v>1104</v>
      </c>
      <c r="K478" s="146">
        <f t="shared" si="641"/>
        <v>104</v>
      </c>
      <c r="L478" s="147">
        <f t="shared" si="642"/>
        <v>2.2464</v>
      </c>
      <c r="M478" s="147">
        <f t="shared" si="643"/>
        <v>0</v>
      </c>
      <c r="N478" s="147">
        <f t="shared" si="644"/>
        <v>0</v>
      </c>
      <c r="O478" s="147">
        <f t="shared" si="645"/>
        <v>0</v>
      </c>
      <c r="P478" s="148">
        <f t="shared" si="623"/>
        <v>0.26428235294117647</v>
      </c>
      <c r="Q478" s="147">
        <f t="shared" si="624"/>
        <v>0</v>
      </c>
      <c r="R478" s="147">
        <f t="shared" si="625"/>
        <v>0</v>
      </c>
      <c r="S478" s="147">
        <f t="shared" si="626"/>
        <v>0</v>
      </c>
      <c r="T478" s="200" t="str">
        <f t="shared" si="646"/>
        <v>B</v>
      </c>
      <c r="U478" s="214">
        <v>1</v>
      </c>
      <c r="V478" s="214">
        <v>1</v>
      </c>
      <c r="W478" s="214">
        <v>1</v>
      </c>
      <c r="X478" s="214">
        <v>1</v>
      </c>
      <c r="Y478" s="142"/>
      <c r="Z478" s="149">
        <f t="shared" si="637"/>
        <v>884</v>
      </c>
      <c r="AA478" s="150">
        <f t="shared" si="638"/>
        <v>2.2464</v>
      </c>
      <c r="AE478" s="582">
        <f t="shared" si="639"/>
        <v>0</v>
      </c>
      <c r="AF478" s="582">
        <f t="shared" si="640"/>
        <v>8.5</v>
      </c>
    </row>
    <row r="479" spans="2:32" ht="18" customHeight="1">
      <c r="B479" s="142" t="s">
        <v>454</v>
      </c>
      <c r="C479" s="221" t="s">
        <v>194</v>
      </c>
      <c r="D479" s="222">
        <v>0</v>
      </c>
      <c r="E479" s="51">
        <v>1</v>
      </c>
      <c r="F479" s="51" t="s">
        <v>144</v>
      </c>
      <c r="G479" s="63" t="s">
        <v>271</v>
      </c>
      <c r="H479" s="51" t="s">
        <v>76</v>
      </c>
      <c r="I479" s="51">
        <v>4.5</v>
      </c>
      <c r="J479" s="213">
        <v>8255</v>
      </c>
      <c r="K479" s="146">
        <f t="shared" si="641"/>
        <v>255</v>
      </c>
      <c r="L479" s="147">
        <f t="shared" si="642"/>
        <v>9</v>
      </c>
      <c r="M479" s="147">
        <f t="shared" si="643"/>
        <v>0</v>
      </c>
      <c r="N479" s="147">
        <f t="shared" si="644"/>
        <v>0</v>
      </c>
      <c r="O479" s="147">
        <f t="shared" si="645"/>
        <v>0</v>
      </c>
      <c r="P479" s="148">
        <f t="shared" si="623"/>
        <v>2</v>
      </c>
      <c r="Q479" s="147">
        <f t="shared" si="624"/>
        <v>0</v>
      </c>
      <c r="R479" s="147">
        <f t="shared" si="625"/>
        <v>0</v>
      </c>
      <c r="S479" s="147">
        <f t="shared" si="626"/>
        <v>0</v>
      </c>
      <c r="T479" s="200" t="str">
        <f t="shared" si="646"/>
        <v>V</v>
      </c>
      <c r="U479" s="214">
        <v>1</v>
      </c>
      <c r="V479" s="214">
        <v>1</v>
      </c>
      <c r="W479" s="214">
        <v>1</v>
      </c>
      <c r="X479" s="214">
        <v>1</v>
      </c>
      <c r="Y479" s="142"/>
      <c r="Z479" s="149">
        <f t="shared" si="637"/>
        <v>1147.5</v>
      </c>
      <c r="AA479" s="150">
        <f t="shared" si="638"/>
        <v>9</v>
      </c>
      <c r="AE479" s="582">
        <f t="shared" si="639"/>
        <v>0</v>
      </c>
      <c r="AF479" s="582">
        <f t="shared" si="640"/>
        <v>4.5</v>
      </c>
    </row>
    <row r="480" spans="2:32" ht="18" customHeight="1">
      <c r="B480" s="142" t="s">
        <v>454</v>
      </c>
      <c r="C480" s="221" t="s">
        <v>194</v>
      </c>
      <c r="D480" s="222">
        <v>0</v>
      </c>
      <c r="E480" s="51">
        <v>2</v>
      </c>
      <c r="F480" s="51" t="s">
        <v>339</v>
      </c>
      <c r="G480" s="63" t="s">
        <v>271</v>
      </c>
      <c r="H480" s="51" t="s">
        <v>340</v>
      </c>
      <c r="I480" s="51">
        <v>25</v>
      </c>
      <c r="J480" s="213">
        <v>3255</v>
      </c>
      <c r="K480" s="146">
        <f t="shared" si="641"/>
        <v>255</v>
      </c>
      <c r="L480" s="147">
        <f t="shared" si="642"/>
        <v>9.35</v>
      </c>
      <c r="M480" s="147">
        <f t="shared" si="643"/>
        <v>0</v>
      </c>
      <c r="N480" s="147">
        <f t="shared" si="644"/>
        <v>0</v>
      </c>
      <c r="O480" s="147">
        <f t="shared" si="645"/>
        <v>0</v>
      </c>
      <c r="P480" s="148">
        <f t="shared" si="623"/>
        <v>0.374</v>
      </c>
      <c r="Q480" s="147">
        <f t="shared" si="624"/>
        <v>0</v>
      </c>
      <c r="R480" s="147">
        <f t="shared" si="625"/>
        <v>0</v>
      </c>
      <c r="S480" s="147">
        <f t="shared" si="626"/>
        <v>0</v>
      </c>
      <c r="T480" s="200" t="str">
        <f t="shared" si="646"/>
        <v>V</v>
      </c>
      <c r="U480" s="214">
        <v>1</v>
      </c>
      <c r="V480" s="214">
        <v>1</v>
      </c>
      <c r="W480" s="214">
        <v>1</v>
      </c>
      <c r="X480" s="214">
        <v>1</v>
      </c>
      <c r="Y480" s="142"/>
      <c r="Z480" s="149">
        <f t="shared" si="637"/>
        <v>6375</v>
      </c>
      <c r="AA480" s="150">
        <f t="shared" si="638"/>
        <v>9.35</v>
      </c>
      <c r="AE480" s="582">
        <f t="shared" si="639"/>
        <v>0</v>
      </c>
      <c r="AF480" s="582">
        <f t="shared" si="640"/>
        <v>0</v>
      </c>
    </row>
    <row r="481" spans="2:32" ht="18" customHeight="1">
      <c r="B481" s="142" t="s">
        <v>454</v>
      </c>
      <c r="C481" s="221" t="s">
        <v>194</v>
      </c>
      <c r="D481" s="222">
        <v>0</v>
      </c>
      <c r="E481" s="51">
        <v>3</v>
      </c>
      <c r="F481" s="51" t="s">
        <v>274</v>
      </c>
      <c r="G481" s="63" t="s">
        <v>263</v>
      </c>
      <c r="H481" s="51" t="s">
        <v>76</v>
      </c>
      <c r="I481" s="51">
        <v>8.6999999999999993</v>
      </c>
      <c r="J481" s="213">
        <v>15104</v>
      </c>
      <c r="K481" s="146">
        <f t="shared" si="641"/>
        <v>104</v>
      </c>
      <c r="L481" s="147">
        <f t="shared" si="642"/>
        <v>2.3631247058823526</v>
      </c>
      <c r="M481" s="147">
        <f t="shared" si="643"/>
        <v>0</v>
      </c>
      <c r="N481" s="147">
        <f t="shared" si="644"/>
        <v>0</v>
      </c>
      <c r="O481" s="147">
        <f t="shared" si="645"/>
        <v>0</v>
      </c>
      <c r="P481" s="148">
        <f t="shared" si="623"/>
        <v>0.27162352941176471</v>
      </c>
      <c r="Q481" s="147">
        <f t="shared" si="624"/>
        <v>0</v>
      </c>
      <c r="R481" s="147">
        <f t="shared" si="625"/>
        <v>0</v>
      </c>
      <c r="S481" s="147">
        <f t="shared" si="626"/>
        <v>0</v>
      </c>
      <c r="T481" s="200" t="str">
        <f t="shared" si="646"/>
        <v>B</v>
      </c>
      <c r="U481" s="214">
        <v>1</v>
      </c>
      <c r="V481" s="214">
        <v>1</v>
      </c>
      <c r="W481" s="214">
        <v>1</v>
      </c>
      <c r="X481" s="214">
        <v>1</v>
      </c>
      <c r="Y481" s="142"/>
      <c r="Z481" s="149">
        <f t="shared" si="637"/>
        <v>904.8</v>
      </c>
      <c r="AA481" s="150">
        <f t="shared" si="638"/>
        <v>2.3631247058823526</v>
      </c>
      <c r="AE481" s="582">
        <f t="shared" si="639"/>
        <v>0</v>
      </c>
      <c r="AF481" s="582">
        <f t="shared" si="640"/>
        <v>8.6999999999999993</v>
      </c>
    </row>
    <row r="482" spans="2:32" ht="18" customHeight="1">
      <c r="B482" s="142" t="s">
        <v>454</v>
      </c>
      <c r="C482" s="221" t="s">
        <v>194</v>
      </c>
      <c r="D482" s="222">
        <v>0</v>
      </c>
      <c r="E482" s="51" t="s">
        <v>562</v>
      </c>
      <c r="F482" s="51" t="s">
        <v>262</v>
      </c>
      <c r="G482" s="63" t="s">
        <v>263</v>
      </c>
      <c r="H482" s="51" t="s">
        <v>76</v>
      </c>
      <c r="I482" s="51">
        <v>6</v>
      </c>
      <c r="J482" s="213">
        <v>1104</v>
      </c>
      <c r="K482" s="146">
        <f t="shared" si="641"/>
        <v>104</v>
      </c>
      <c r="L482" s="147">
        <f t="shared" si="642"/>
        <v>1.5856941176470589</v>
      </c>
      <c r="M482" s="147">
        <f t="shared" si="643"/>
        <v>0</v>
      </c>
      <c r="N482" s="147">
        <f t="shared" si="644"/>
        <v>0</v>
      </c>
      <c r="O482" s="147">
        <f t="shared" si="645"/>
        <v>0</v>
      </c>
      <c r="P482" s="148">
        <f t="shared" si="623"/>
        <v>0.26428235294117647</v>
      </c>
      <c r="Q482" s="147">
        <f t="shared" si="624"/>
        <v>0</v>
      </c>
      <c r="R482" s="147">
        <f t="shared" si="625"/>
        <v>0</v>
      </c>
      <c r="S482" s="147">
        <f t="shared" si="626"/>
        <v>0</v>
      </c>
      <c r="T482" s="200" t="str">
        <f t="shared" si="646"/>
        <v>B</v>
      </c>
      <c r="U482" s="214">
        <v>1</v>
      </c>
      <c r="V482" s="214">
        <v>1</v>
      </c>
      <c r="W482" s="214">
        <v>1</v>
      </c>
      <c r="X482" s="214">
        <v>1</v>
      </c>
      <c r="Y482" s="142"/>
      <c r="Z482" s="149">
        <f t="shared" si="637"/>
        <v>624</v>
      </c>
      <c r="AA482" s="150">
        <f t="shared" si="638"/>
        <v>1.5856941176470589</v>
      </c>
      <c r="AE482" s="582">
        <f t="shared" si="639"/>
        <v>0</v>
      </c>
      <c r="AF482" s="582">
        <f t="shared" si="640"/>
        <v>6</v>
      </c>
    </row>
    <row r="483" spans="2:32" ht="18" customHeight="1">
      <c r="B483" s="142" t="s">
        <v>454</v>
      </c>
      <c r="C483" s="221" t="s">
        <v>194</v>
      </c>
      <c r="D483" s="222">
        <v>0</v>
      </c>
      <c r="E483" s="51" t="s">
        <v>563</v>
      </c>
      <c r="F483" s="51" t="s">
        <v>353</v>
      </c>
      <c r="G483" s="63" t="s">
        <v>271</v>
      </c>
      <c r="H483" s="51" t="s">
        <v>340</v>
      </c>
      <c r="I483" s="51">
        <v>8</v>
      </c>
      <c r="J483" s="213">
        <v>3255</v>
      </c>
      <c r="K483" s="146">
        <f t="shared" si="641"/>
        <v>255</v>
      </c>
      <c r="L483" s="147">
        <f t="shared" si="642"/>
        <v>2.992</v>
      </c>
      <c r="M483" s="147">
        <f t="shared" si="643"/>
        <v>0</v>
      </c>
      <c r="N483" s="147">
        <f t="shared" si="644"/>
        <v>0</v>
      </c>
      <c r="O483" s="147">
        <f t="shared" si="645"/>
        <v>0</v>
      </c>
      <c r="P483" s="148">
        <f t="shared" si="623"/>
        <v>0.374</v>
      </c>
      <c r="Q483" s="147">
        <f t="shared" si="624"/>
        <v>0</v>
      </c>
      <c r="R483" s="147">
        <f t="shared" si="625"/>
        <v>0</v>
      </c>
      <c r="S483" s="147">
        <f t="shared" si="626"/>
        <v>0</v>
      </c>
      <c r="T483" s="200" t="str">
        <f t="shared" si="646"/>
        <v>V</v>
      </c>
      <c r="U483" s="214">
        <v>1</v>
      </c>
      <c r="V483" s="214">
        <v>1</v>
      </c>
      <c r="W483" s="214">
        <v>1</v>
      </c>
      <c r="X483" s="214">
        <v>1</v>
      </c>
      <c r="Y483" s="142"/>
      <c r="Z483" s="149">
        <f t="shared" si="637"/>
        <v>2040</v>
      </c>
      <c r="AA483" s="150">
        <f t="shared" si="638"/>
        <v>2.992</v>
      </c>
      <c r="AE483" s="582">
        <f t="shared" si="639"/>
        <v>0</v>
      </c>
      <c r="AF483" s="582">
        <f t="shared" si="640"/>
        <v>0</v>
      </c>
    </row>
    <row r="484" spans="2:32" ht="18" customHeight="1">
      <c r="B484" s="142" t="s">
        <v>454</v>
      </c>
      <c r="C484" s="221" t="s">
        <v>194</v>
      </c>
      <c r="D484" s="222">
        <v>0</v>
      </c>
      <c r="E484" s="51">
        <v>5</v>
      </c>
      <c r="F484" s="51" t="s">
        <v>274</v>
      </c>
      <c r="G484" s="63" t="s">
        <v>263</v>
      </c>
      <c r="H484" s="51" t="s">
        <v>76</v>
      </c>
      <c r="I484" s="51">
        <v>18</v>
      </c>
      <c r="J484" s="213">
        <v>15104</v>
      </c>
      <c r="K484" s="146">
        <f t="shared" si="641"/>
        <v>104</v>
      </c>
      <c r="L484" s="147">
        <f t="shared" si="642"/>
        <v>4.8892235294117645</v>
      </c>
      <c r="M484" s="147">
        <f t="shared" si="643"/>
        <v>0</v>
      </c>
      <c r="N484" s="147">
        <f t="shared" si="644"/>
        <v>0</v>
      </c>
      <c r="O484" s="147">
        <f t="shared" si="645"/>
        <v>0</v>
      </c>
      <c r="P484" s="148">
        <f t="shared" si="623"/>
        <v>0.27162352941176471</v>
      </c>
      <c r="Q484" s="147">
        <f t="shared" si="624"/>
        <v>0</v>
      </c>
      <c r="R484" s="147">
        <f t="shared" si="625"/>
        <v>0</v>
      </c>
      <c r="S484" s="147">
        <f t="shared" si="626"/>
        <v>0</v>
      </c>
      <c r="T484" s="200" t="str">
        <f t="shared" si="646"/>
        <v>B</v>
      </c>
      <c r="U484" s="214">
        <v>1</v>
      </c>
      <c r="V484" s="214">
        <v>1</v>
      </c>
      <c r="W484" s="214">
        <v>1</v>
      </c>
      <c r="X484" s="214">
        <v>1</v>
      </c>
      <c r="Y484" s="142"/>
      <c r="Z484" s="149">
        <f t="shared" si="637"/>
        <v>1872</v>
      </c>
      <c r="AA484" s="150">
        <f t="shared" si="638"/>
        <v>4.8892235294117645</v>
      </c>
      <c r="AE484" s="582">
        <f t="shared" si="639"/>
        <v>0</v>
      </c>
      <c r="AF484" s="582">
        <f t="shared" si="640"/>
        <v>18</v>
      </c>
    </row>
    <row r="485" spans="2:32" ht="18" customHeight="1">
      <c r="B485" s="142" t="s">
        <v>454</v>
      </c>
      <c r="C485" s="221" t="s">
        <v>194</v>
      </c>
      <c r="D485" s="222">
        <v>0</v>
      </c>
      <c r="E485" s="51">
        <v>6</v>
      </c>
      <c r="F485" s="51" t="s">
        <v>274</v>
      </c>
      <c r="G485" s="63" t="s">
        <v>263</v>
      </c>
      <c r="H485" s="51" t="s">
        <v>76</v>
      </c>
      <c r="I485" s="51">
        <v>10.5</v>
      </c>
      <c r="J485" s="213">
        <v>15104</v>
      </c>
      <c r="K485" s="146">
        <f t="shared" si="641"/>
        <v>104</v>
      </c>
      <c r="L485" s="147">
        <f t="shared" si="642"/>
        <v>2.8520470588235294</v>
      </c>
      <c r="M485" s="147">
        <f t="shared" si="643"/>
        <v>0</v>
      </c>
      <c r="N485" s="147">
        <f t="shared" si="644"/>
        <v>0</v>
      </c>
      <c r="O485" s="147">
        <f t="shared" si="645"/>
        <v>0</v>
      </c>
      <c r="P485" s="148">
        <f t="shared" si="623"/>
        <v>0.27162352941176471</v>
      </c>
      <c r="Q485" s="147">
        <f t="shared" si="624"/>
        <v>0</v>
      </c>
      <c r="R485" s="147">
        <f t="shared" si="625"/>
        <v>0</v>
      </c>
      <c r="S485" s="147">
        <f t="shared" si="626"/>
        <v>0</v>
      </c>
      <c r="T485" s="200" t="str">
        <f t="shared" si="646"/>
        <v>B</v>
      </c>
      <c r="U485" s="214">
        <v>1</v>
      </c>
      <c r="V485" s="214">
        <v>1</v>
      </c>
      <c r="W485" s="214">
        <v>1</v>
      </c>
      <c r="X485" s="214">
        <v>1</v>
      </c>
      <c r="Y485" s="142"/>
      <c r="Z485" s="149">
        <f t="shared" si="637"/>
        <v>1092</v>
      </c>
      <c r="AA485" s="150">
        <f t="shared" si="638"/>
        <v>2.8520470588235294</v>
      </c>
      <c r="AE485" s="582">
        <f t="shared" si="639"/>
        <v>0</v>
      </c>
      <c r="AF485" s="582">
        <f t="shared" si="640"/>
        <v>10.5</v>
      </c>
    </row>
    <row r="486" spans="2:32" ht="18" customHeight="1">
      <c r="B486" s="142" t="s">
        <v>454</v>
      </c>
      <c r="C486" s="221" t="s">
        <v>194</v>
      </c>
      <c r="D486" s="222">
        <v>0</v>
      </c>
      <c r="E486" s="51">
        <v>7</v>
      </c>
      <c r="F486" s="51" t="s">
        <v>564</v>
      </c>
      <c r="G486" s="63" t="s">
        <v>271</v>
      </c>
      <c r="H486" s="51" t="s">
        <v>301</v>
      </c>
      <c r="I486" s="51">
        <v>11.7</v>
      </c>
      <c r="J486" s="213" t="s">
        <v>161</v>
      </c>
      <c r="K486" s="146">
        <f t="shared" si="641"/>
        <v>0</v>
      </c>
      <c r="L486" s="147">
        <f t="shared" si="642"/>
        <v>0</v>
      </c>
      <c r="M486" s="147">
        <f t="shared" si="643"/>
        <v>0</v>
      </c>
      <c r="N486" s="147">
        <f t="shared" si="644"/>
        <v>0</v>
      </c>
      <c r="O486" s="147">
        <f t="shared" si="645"/>
        <v>0</v>
      </c>
      <c r="P486" s="148">
        <f t="shared" si="623"/>
        <v>0</v>
      </c>
      <c r="Q486" s="147">
        <f t="shared" si="624"/>
        <v>0</v>
      </c>
      <c r="R486" s="147">
        <f t="shared" si="625"/>
        <v>0</v>
      </c>
      <c r="S486" s="147">
        <f t="shared" si="626"/>
        <v>0</v>
      </c>
      <c r="T486" s="200" t="str">
        <f t="shared" si="646"/>
        <v>nvt</v>
      </c>
      <c r="U486" s="214">
        <v>1</v>
      </c>
      <c r="V486" s="214">
        <v>1</v>
      </c>
      <c r="W486" s="214">
        <v>1</v>
      </c>
      <c r="X486" s="214">
        <v>1</v>
      </c>
      <c r="Y486" s="142"/>
      <c r="Z486" s="149">
        <f t="shared" si="637"/>
        <v>0</v>
      </c>
      <c r="AA486" s="150">
        <f t="shared" si="638"/>
        <v>0</v>
      </c>
      <c r="AE486" s="582">
        <f t="shared" si="639"/>
        <v>0</v>
      </c>
      <c r="AF486" s="582">
        <f t="shared" si="640"/>
        <v>0</v>
      </c>
    </row>
    <row r="487" spans="2:32" ht="18" customHeight="1">
      <c r="B487" s="142" t="s">
        <v>454</v>
      </c>
      <c r="C487" s="221" t="s">
        <v>194</v>
      </c>
      <c r="D487" s="222">
        <v>0</v>
      </c>
      <c r="E487" s="51">
        <v>8</v>
      </c>
      <c r="F487" s="51" t="s">
        <v>278</v>
      </c>
      <c r="G487" s="63" t="s">
        <v>271</v>
      </c>
      <c r="H487" s="51" t="s">
        <v>76</v>
      </c>
      <c r="I487" s="51">
        <v>3.5</v>
      </c>
      <c r="J487" s="213" t="s">
        <v>161</v>
      </c>
      <c r="K487" s="146">
        <f t="shared" si="641"/>
        <v>0</v>
      </c>
      <c r="L487" s="147">
        <f t="shared" si="642"/>
        <v>0</v>
      </c>
      <c r="M487" s="147">
        <f t="shared" si="643"/>
        <v>0</v>
      </c>
      <c r="N487" s="147">
        <f t="shared" si="644"/>
        <v>0</v>
      </c>
      <c r="O487" s="147">
        <f t="shared" si="645"/>
        <v>0</v>
      </c>
      <c r="P487" s="148">
        <f t="shared" si="623"/>
        <v>0</v>
      </c>
      <c r="Q487" s="147">
        <f t="shared" si="624"/>
        <v>0</v>
      </c>
      <c r="R487" s="147">
        <f t="shared" si="625"/>
        <v>0</v>
      </c>
      <c r="S487" s="147">
        <f t="shared" si="626"/>
        <v>0</v>
      </c>
      <c r="T487" s="200" t="str">
        <f t="shared" si="646"/>
        <v>nvt</v>
      </c>
      <c r="U487" s="214">
        <v>1</v>
      </c>
      <c r="V487" s="214">
        <v>1</v>
      </c>
      <c r="W487" s="214">
        <v>1</v>
      </c>
      <c r="X487" s="214">
        <v>1</v>
      </c>
      <c r="Y487" s="142"/>
      <c r="Z487" s="149">
        <f t="shared" si="637"/>
        <v>0</v>
      </c>
      <c r="AA487" s="150">
        <f t="shared" si="638"/>
        <v>0</v>
      </c>
      <c r="AE487" s="582">
        <f t="shared" si="639"/>
        <v>0</v>
      </c>
      <c r="AF487" s="582">
        <f t="shared" si="640"/>
        <v>3.5</v>
      </c>
    </row>
    <row r="488" spans="2:32" ht="18" customHeight="1">
      <c r="B488" s="142" t="s">
        <v>454</v>
      </c>
      <c r="C488" s="221" t="s">
        <v>194</v>
      </c>
      <c r="D488" s="222">
        <v>0</v>
      </c>
      <c r="E488" s="51">
        <v>9</v>
      </c>
      <c r="F488" s="51" t="s">
        <v>262</v>
      </c>
      <c r="G488" s="63" t="s">
        <v>263</v>
      </c>
      <c r="H488" s="51" t="s">
        <v>76</v>
      </c>
      <c r="I488" s="51">
        <v>51.5</v>
      </c>
      <c r="J488" s="213">
        <v>1104</v>
      </c>
      <c r="K488" s="146">
        <f t="shared" si="641"/>
        <v>104</v>
      </c>
      <c r="L488" s="147">
        <f t="shared" si="642"/>
        <v>13.610541176470589</v>
      </c>
      <c r="M488" s="147">
        <f t="shared" si="643"/>
        <v>0</v>
      </c>
      <c r="N488" s="147">
        <f t="shared" si="644"/>
        <v>0</v>
      </c>
      <c r="O488" s="147">
        <f t="shared" si="645"/>
        <v>0</v>
      </c>
      <c r="P488" s="148">
        <f t="shared" si="623"/>
        <v>0.26428235294117647</v>
      </c>
      <c r="Q488" s="147">
        <f t="shared" si="624"/>
        <v>0</v>
      </c>
      <c r="R488" s="147">
        <f t="shared" si="625"/>
        <v>0</v>
      </c>
      <c r="S488" s="147">
        <f t="shared" si="626"/>
        <v>0</v>
      </c>
      <c r="T488" s="200" t="str">
        <f t="shared" si="646"/>
        <v>B</v>
      </c>
      <c r="U488" s="214">
        <v>1</v>
      </c>
      <c r="V488" s="214">
        <v>1</v>
      </c>
      <c r="W488" s="214">
        <v>1</v>
      </c>
      <c r="X488" s="214">
        <v>1</v>
      </c>
      <c r="Y488" s="142"/>
      <c r="Z488" s="149">
        <f t="shared" si="637"/>
        <v>5356</v>
      </c>
      <c r="AA488" s="150">
        <f t="shared" si="638"/>
        <v>13.610541176470589</v>
      </c>
      <c r="AE488" s="582">
        <f t="shared" si="639"/>
        <v>0</v>
      </c>
      <c r="AF488" s="582">
        <f t="shared" si="640"/>
        <v>51.5</v>
      </c>
    </row>
    <row r="489" spans="2:32" ht="18" customHeight="1">
      <c r="B489" s="142" t="s">
        <v>454</v>
      </c>
      <c r="C489" s="221" t="s">
        <v>194</v>
      </c>
      <c r="D489" s="222">
        <v>0</v>
      </c>
      <c r="E489" s="51">
        <v>10</v>
      </c>
      <c r="F489" s="51" t="s">
        <v>353</v>
      </c>
      <c r="G489" s="63" t="s">
        <v>271</v>
      </c>
      <c r="H489" s="51" t="s">
        <v>418</v>
      </c>
      <c r="I489" s="51">
        <v>4.5999999999999996</v>
      </c>
      <c r="J489" s="213">
        <v>3255</v>
      </c>
      <c r="K489" s="146">
        <f t="shared" si="641"/>
        <v>255</v>
      </c>
      <c r="L489" s="147">
        <f t="shared" si="642"/>
        <v>1.7203999999999999</v>
      </c>
      <c r="M489" s="147">
        <f t="shared" si="643"/>
        <v>0</v>
      </c>
      <c r="N489" s="147">
        <f t="shared" si="644"/>
        <v>0</v>
      </c>
      <c r="O489" s="147">
        <f t="shared" si="645"/>
        <v>0</v>
      </c>
      <c r="P489" s="148">
        <f t="shared" si="623"/>
        <v>0.374</v>
      </c>
      <c r="Q489" s="147">
        <f t="shared" si="624"/>
        <v>0</v>
      </c>
      <c r="R489" s="147">
        <f t="shared" si="625"/>
        <v>0</v>
      </c>
      <c r="S489" s="147">
        <f t="shared" si="626"/>
        <v>0</v>
      </c>
      <c r="T489" s="200" t="str">
        <f t="shared" si="646"/>
        <v>V</v>
      </c>
      <c r="U489" s="214">
        <v>1</v>
      </c>
      <c r="V489" s="214">
        <v>1</v>
      </c>
      <c r="W489" s="214">
        <v>1</v>
      </c>
      <c r="X489" s="214">
        <v>1</v>
      </c>
      <c r="Y489" s="142"/>
      <c r="Z489" s="149">
        <f t="shared" si="637"/>
        <v>1173</v>
      </c>
      <c r="AA489" s="150">
        <f t="shared" si="638"/>
        <v>1.7203999999999999</v>
      </c>
      <c r="AE489" s="582">
        <f t="shared" si="639"/>
        <v>4.5999999999999996</v>
      </c>
      <c r="AF489" s="582">
        <f t="shared" si="640"/>
        <v>0</v>
      </c>
    </row>
    <row r="490" spans="2:32" ht="18" customHeight="1">
      <c r="B490" s="142" t="s">
        <v>454</v>
      </c>
      <c r="C490" s="221" t="s">
        <v>194</v>
      </c>
      <c r="D490" s="222">
        <v>0</v>
      </c>
      <c r="E490" s="51">
        <v>12</v>
      </c>
      <c r="F490" s="51" t="s">
        <v>363</v>
      </c>
      <c r="G490" s="63" t="s">
        <v>266</v>
      </c>
      <c r="H490" s="51" t="s">
        <v>418</v>
      </c>
      <c r="I490" s="51">
        <v>1.4</v>
      </c>
      <c r="J490" s="213">
        <v>2255</v>
      </c>
      <c r="K490" s="146">
        <f t="shared" si="641"/>
        <v>255</v>
      </c>
      <c r="L490" s="147">
        <f t="shared" si="642"/>
        <v>4.4912000000000001</v>
      </c>
      <c r="M490" s="147">
        <f t="shared" si="643"/>
        <v>0</v>
      </c>
      <c r="N490" s="147">
        <f t="shared" si="644"/>
        <v>0</v>
      </c>
      <c r="O490" s="147">
        <f t="shared" si="645"/>
        <v>0</v>
      </c>
      <c r="P490" s="148">
        <f t="shared" si="623"/>
        <v>3.2080000000000002</v>
      </c>
      <c r="Q490" s="147">
        <f t="shared" si="624"/>
        <v>0</v>
      </c>
      <c r="R490" s="147">
        <f t="shared" si="625"/>
        <v>0</v>
      </c>
      <c r="S490" s="147">
        <f t="shared" si="626"/>
        <v>0</v>
      </c>
      <c r="T490" s="200" t="str">
        <f t="shared" si="646"/>
        <v>S</v>
      </c>
      <c r="U490" s="214">
        <v>1</v>
      </c>
      <c r="V490" s="214">
        <v>1</v>
      </c>
      <c r="W490" s="214">
        <v>1</v>
      </c>
      <c r="X490" s="214">
        <v>1</v>
      </c>
      <c r="Y490" s="142"/>
      <c r="Z490" s="149">
        <f t="shared" si="637"/>
        <v>357</v>
      </c>
      <c r="AA490" s="150">
        <f t="shared" si="638"/>
        <v>4.4912000000000001</v>
      </c>
      <c r="AE490" s="582">
        <f t="shared" si="639"/>
        <v>1.4</v>
      </c>
      <c r="AF490" s="582">
        <f t="shared" si="640"/>
        <v>0</v>
      </c>
    </row>
    <row r="491" spans="2:32" ht="18" customHeight="1">
      <c r="B491" s="142" t="s">
        <v>454</v>
      </c>
      <c r="C491" s="221" t="s">
        <v>194</v>
      </c>
      <c r="D491" s="222">
        <v>0</v>
      </c>
      <c r="E491" s="51">
        <v>13</v>
      </c>
      <c r="F491" s="51" t="s">
        <v>299</v>
      </c>
      <c r="G491" s="63" t="s">
        <v>271</v>
      </c>
      <c r="H491" s="51" t="s">
        <v>301</v>
      </c>
      <c r="I491" s="51">
        <v>0</v>
      </c>
      <c r="J491" s="213" t="s">
        <v>161</v>
      </c>
      <c r="K491" s="146">
        <f t="shared" si="641"/>
        <v>0</v>
      </c>
      <c r="L491" s="147">
        <f t="shared" si="642"/>
        <v>0</v>
      </c>
      <c r="M491" s="147">
        <f t="shared" si="643"/>
        <v>0</v>
      </c>
      <c r="N491" s="147">
        <f t="shared" si="644"/>
        <v>0</v>
      </c>
      <c r="O491" s="147">
        <f t="shared" si="645"/>
        <v>0</v>
      </c>
      <c r="P491" s="148">
        <f t="shared" si="623"/>
        <v>0</v>
      </c>
      <c r="Q491" s="147">
        <f t="shared" si="624"/>
        <v>0</v>
      </c>
      <c r="R491" s="147">
        <f t="shared" si="625"/>
        <v>0</v>
      </c>
      <c r="S491" s="147">
        <f t="shared" si="626"/>
        <v>0</v>
      </c>
      <c r="T491" s="200" t="str">
        <f t="shared" si="646"/>
        <v>nvt</v>
      </c>
      <c r="U491" s="214">
        <v>1</v>
      </c>
      <c r="V491" s="214">
        <v>1</v>
      </c>
      <c r="W491" s="214">
        <v>1</v>
      </c>
      <c r="X491" s="214">
        <v>1</v>
      </c>
      <c r="Y491" s="142"/>
      <c r="Z491" s="149">
        <f t="shared" si="637"/>
        <v>0</v>
      </c>
      <c r="AA491" s="150">
        <f t="shared" si="638"/>
        <v>0</v>
      </c>
      <c r="AE491" s="582">
        <f t="shared" si="639"/>
        <v>0</v>
      </c>
      <c r="AF491" s="582">
        <f t="shared" si="640"/>
        <v>0</v>
      </c>
    </row>
    <row r="492" spans="2:32" ht="18" customHeight="1">
      <c r="B492" s="142" t="s">
        <v>454</v>
      </c>
      <c r="C492" s="221" t="s">
        <v>194</v>
      </c>
      <c r="D492" s="222">
        <v>0</v>
      </c>
      <c r="E492" s="51">
        <v>14</v>
      </c>
      <c r="F492" s="51" t="s">
        <v>363</v>
      </c>
      <c r="G492" s="63" t="s">
        <v>266</v>
      </c>
      <c r="H492" s="51" t="s">
        <v>418</v>
      </c>
      <c r="I492" s="51">
        <v>1.4</v>
      </c>
      <c r="J492" s="213">
        <v>2255</v>
      </c>
      <c r="K492" s="146">
        <f t="shared" si="641"/>
        <v>255</v>
      </c>
      <c r="L492" s="147">
        <f t="shared" si="642"/>
        <v>4.4912000000000001</v>
      </c>
      <c r="M492" s="147">
        <f t="shared" si="643"/>
        <v>0</v>
      </c>
      <c r="N492" s="147">
        <f t="shared" si="644"/>
        <v>0</v>
      </c>
      <c r="O492" s="147">
        <f t="shared" si="645"/>
        <v>0</v>
      </c>
      <c r="P492" s="148">
        <f t="shared" si="623"/>
        <v>3.2080000000000002</v>
      </c>
      <c r="Q492" s="147">
        <f t="shared" si="624"/>
        <v>0</v>
      </c>
      <c r="R492" s="147">
        <f t="shared" si="625"/>
        <v>0</v>
      </c>
      <c r="S492" s="147">
        <f t="shared" si="626"/>
        <v>0</v>
      </c>
      <c r="T492" s="200" t="str">
        <f t="shared" si="646"/>
        <v>S</v>
      </c>
      <c r="U492" s="214">
        <v>1</v>
      </c>
      <c r="V492" s="214">
        <v>1</v>
      </c>
      <c r="W492" s="214">
        <v>1</v>
      </c>
      <c r="X492" s="214">
        <v>1</v>
      </c>
      <c r="Y492" s="142"/>
      <c r="Z492" s="149">
        <f t="shared" si="637"/>
        <v>357</v>
      </c>
      <c r="AA492" s="150">
        <f t="shared" si="638"/>
        <v>4.4912000000000001</v>
      </c>
      <c r="AE492" s="582">
        <f t="shared" si="639"/>
        <v>1.4</v>
      </c>
      <c r="AF492" s="582">
        <f t="shared" si="640"/>
        <v>0</v>
      </c>
    </row>
    <row r="493" spans="2:32" ht="18" customHeight="1">
      <c r="B493" s="142" t="s">
        <v>454</v>
      </c>
      <c r="C493" s="221" t="s">
        <v>194</v>
      </c>
      <c r="D493" s="222">
        <v>0</v>
      </c>
      <c r="E493" s="51">
        <v>15</v>
      </c>
      <c r="F493" s="51" t="s">
        <v>496</v>
      </c>
      <c r="G493" s="63" t="s">
        <v>271</v>
      </c>
      <c r="H493" s="51" t="s">
        <v>418</v>
      </c>
      <c r="I493" s="51">
        <v>4.8</v>
      </c>
      <c r="J493" s="213">
        <v>6255</v>
      </c>
      <c r="K493" s="146">
        <f t="shared" si="641"/>
        <v>255</v>
      </c>
      <c r="L493" s="147">
        <f t="shared" si="642"/>
        <v>5.3952</v>
      </c>
      <c r="M493" s="147">
        <f t="shared" si="643"/>
        <v>0</v>
      </c>
      <c r="N493" s="147">
        <f t="shared" si="644"/>
        <v>0</v>
      </c>
      <c r="O493" s="147">
        <f t="shared" si="645"/>
        <v>0</v>
      </c>
      <c r="P493" s="148">
        <f t="shared" si="623"/>
        <v>1.1240000000000001</v>
      </c>
      <c r="Q493" s="147">
        <f t="shared" si="624"/>
        <v>0</v>
      </c>
      <c r="R493" s="147">
        <f t="shared" si="625"/>
        <v>0</v>
      </c>
      <c r="S493" s="147">
        <f t="shared" si="626"/>
        <v>0</v>
      </c>
      <c r="T493" s="200" t="str">
        <f t="shared" si="646"/>
        <v>V</v>
      </c>
      <c r="U493" s="214">
        <v>1</v>
      </c>
      <c r="V493" s="214">
        <v>1</v>
      </c>
      <c r="W493" s="214">
        <v>1</v>
      </c>
      <c r="X493" s="214">
        <v>1</v>
      </c>
      <c r="Y493" s="142"/>
      <c r="Z493" s="149">
        <f t="shared" si="637"/>
        <v>1224</v>
      </c>
      <c r="AA493" s="150">
        <f t="shared" si="638"/>
        <v>5.3952</v>
      </c>
      <c r="AE493" s="582">
        <f t="shared" si="639"/>
        <v>4.8</v>
      </c>
      <c r="AF493" s="582">
        <f t="shared" si="640"/>
        <v>0</v>
      </c>
    </row>
    <row r="494" spans="2:32" ht="18" customHeight="1">
      <c r="B494" s="142" t="s">
        <v>454</v>
      </c>
      <c r="C494" s="221" t="s">
        <v>194</v>
      </c>
      <c r="D494" s="222">
        <v>0</v>
      </c>
      <c r="E494" s="51">
        <v>16</v>
      </c>
      <c r="F494" s="51" t="s">
        <v>493</v>
      </c>
      <c r="G494" s="63" t="s">
        <v>271</v>
      </c>
      <c r="H494" s="51" t="s">
        <v>301</v>
      </c>
      <c r="I494" s="51">
        <v>1.5</v>
      </c>
      <c r="J494" s="213" t="s">
        <v>161</v>
      </c>
      <c r="K494" s="146">
        <f t="shared" si="641"/>
        <v>0</v>
      </c>
      <c r="L494" s="147">
        <f t="shared" si="642"/>
        <v>0</v>
      </c>
      <c r="M494" s="147">
        <f t="shared" si="643"/>
        <v>0</v>
      </c>
      <c r="N494" s="147">
        <f t="shared" si="644"/>
        <v>0</v>
      </c>
      <c r="O494" s="147">
        <f t="shared" si="645"/>
        <v>0</v>
      </c>
      <c r="P494" s="148">
        <f t="shared" ref="P494:P533" si="653">IF($J494="",0,VLOOKUP($J494,Kengetal,5,FALSE))</f>
        <v>0</v>
      </c>
      <c r="Q494" s="147">
        <f t="shared" ref="Q494:Q533" si="654">IF($J494="",0,VLOOKUP($J494,Kengetal,6,FALSE))</f>
        <v>0</v>
      </c>
      <c r="R494" s="147">
        <f t="shared" ref="R494:R533" si="655">IF($J494="",0,VLOOKUP($J494,Kengetal,7,FALSE))</f>
        <v>0</v>
      </c>
      <c r="S494" s="147">
        <f t="shared" ref="S494:S533" si="656">IF($J494="",0,VLOOKUP($J494,Kengetal,8,FALSE))</f>
        <v>0</v>
      </c>
      <c r="T494" s="200" t="str">
        <f t="shared" si="646"/>
        <v>nvt</v>
      </c>
      <c r="U494" s="214">
        <v>1</v>
      </c>
      <c r="V494" s="214">
        <v>1</v>
      </c>
      <c r="W494" s="214">
        <v>1</v>
      </c>
      <c r="X494" s="214">
        <v>1</v>
      </c>
      <c r="Y494" s="142"/>
      <c r="Z494" s="149">
        <f t="shared" si="637"/>
        <v>0</v>
      </c>
      <c r="AA494" s="150">
        <f t="shared" si="638"/>
        <v>0</v>
      </c>
      <c r="AE494" s="582">
        <f t="shared" si="639"/>
        <v>0</v>
      </c>
      <c r="AF494" s="582">
        <f t="shared" si="640"/>
        <v>0</v>
      </c>
    </row>
    <row r="495" spans="2:32" ht="18" customHeight="1">
      <c r="B495" s="142" t="s">
        <v>454</v>
      </c>
      <c r="C495" s="221" t="s">
        <v>194</v>
      </c>
      <c r="D495" s="222">
        <v>0</v>
      </c>
      <c r="E495" s="51">
        <v>17</v>
      </c>
      <c r="F495" s="51" t="s">
        <v>144</v>
      </c>
      <c r="G495" s="63" t="s">
        <v>271</v>
      </c>
      <c r="H495" s="51" t="s">
        <v>76</v>
      </c>
      <c r="I495" s="51">
        <v>7.6</v>
      </c>
      <c r="J495" s="213">
        <v>8255</v>
      </c>
      <c r="K495" s="146">
        <f t="shared" si="641"/>
        <v>255</v>
      </c>
      <c r="L495" s="147">
        <f t="shared" si="642"/>
        <v>15.2</v>
      </c>
      <c r="M495" s="147">
        <f t="shared" si="643"/>
        <v>0</v>
      </c>
      <c r="N495" s="147">
        <f t="shared" si="644"/>
        <v>0</v>
      </c>
      <c r="O495" s="147">
        <f t="shared" si="645"/>
        <v>0</v>
      </c>
      <c r="P495" s="148">
        <f t="shared" si="653"/>
        <v>2</v>
      </c>
      <c r="Q495" s="147">
        <f t="shared" si="654"/>
        <v>0</v>
      </c>
      <c r="R495" s="147">
        <f t="shared" si="655"/>
        <v>0</v>
      </c>
      <c r="S495" s="147">
        <f t="shared" si="656"/>
        <v>0</v>
      </c>
      <c r="T495" s="200" t="str">
        <f t="shared" si="646"/>
        <v>V</v>
      </c>
      <c r="U495" s="214">
        <v>1</v>
      </c>
      <c r="V495" s="214">
        <v>1</v>
      </c>
      <c r="W495" s="214">
        <v>1</v>
      </c>
      <c r="X495" s="214">
        <v>1</v>
      </c>
      <c r="Y495" s="142"/>
      <c r="Z495" s="149">
        <f t="shared" si="637"/>
        <v>1938</v>
      </c>
      <c r="AA495" s="150">
        <f t="shared" si="638"/>
        <v>15.2</v>
      </c>
      <c r="AE495" s="582">
        <f t="shared" si="639"/>
        <v>0</v>
      </c>
      <c r="AF495" s="582">
        <f t="shared" si="640"/>
        <v>7.6</v>
      </c>
    </row>
    <row r="496" spans="2:32" ht="18" customHeight="1">
      <c r="B496" s="142" t="s">
        <v>454</v>
      </c>
      <c r="C496" s="221" t="s">
        <v>194</v>
      </c>
      <c r="D496" s="222">
        <v>0</v>
      </c>
      <c r="E496" s="51">
        <v>18</v>
      </c>
      <c r="F496" s="51" t="s">
        <v>144</v>
      </c>
      <c r="G496" s="63" t="s">
        <v>271</v>
      </c>
      <c r="H496" s="51" t="s">
        <v>76</v>
      </c>
      <c r="I496" s="51">
        <v>7.8</v>
      </c>
      <c r="J496" s="213">
        <v>8255</v>
      </c>
      <c r="K496" s="146">
        <f t="shared" si="641"/>
        <v>255</v>
      </c>
      <c r="L496" s="147">
        <f t="shared" si="642"/>
        <v>15.6</v>
      </c>
      <c r="M496" s="147">
        <f t="shared" si="643"/>
        <v>0</v>
      </c>
      <c r="N496" s="147">
        <f t="shared" si="644"/>
        <v>0</v>
      </c>
      <c r="O496" s="147">
        <f t="shared" si="645"/>
        <v>0</v>
      </c>
      <c r="P496" s="148">
        <f t="shared" si="653"/>
        <v>2</v>
      </c>
      <c r="Q496" s="147">
        <f t="shared" si="654"/>
        <v>0</v>
      </c>
      <c r="R496" s="147">
        <f t="shared" si="655"/>
        <v>0</v>
      </c>
      <c r="S496" s="147">
        <f t="shared" si="656"/>
        <v>0</v>
      </c>
      <c r="T496" s="200" t="str">
        <f t="shared" si="646"/>
        <v>V</v>
      </c>
      <c r="U496" s="214">
        <v>1</v>
      </c>
      <c r="V496" s="214">
        <v>1</v>
      </c>
      <c r="W496" s="214">
        <v>1</v>
      </c>
      <c r="X496" s="214">
        <v>1</v>
      </c>
      <c r="Y496" s="142"/>
      <c r="Z496" s="149">
        <f t="shared" si="637"/>
        <v>1989</v>
      </c>
      <c r="AA496" s="150">
        <f t="shared" si="638"/>
        <v>15.6</v>
      </c>
      <c r="AE496" s="582">
        <f t="shared" si="639"/>
        <v>0</v>
      </c>
      <c r="AF496" s="582">
        <f t="shared" si="640"/>
        <v>7.8</v>
      </c>
    </row>
    <row r="497" spans="2:32" ht="18" customHeight="1">
      <c r="B497" s="142" t="s">
        <v>454</v>
      </c>
      <c r="C497" s="221" t="s">
        <v>194</v>
      </c>
      <c r="D497" s="222">
        <v>0</v>
      </c>
      <c r="E497" s="51">
        <v>19</v>
      </c>
      <c r="F497" s="51" t="s">
        <v>294</v>
      </c>
      <c r="G497" s="63" t="s">
        <v>271</v>
      </c>
      <c r="H497" s="51" t="s">
        <v>301</v>
      </c>
      <c r="I497" s="51">
        <v>0</v>
      </c>
      <c r="J497" s="213" t="s">
        <v>161</v>
      </c>
      <c r="K497" s="146">
        <f t="shared" si="641"/>
        <v>0</v>
      </c>
      <c r="L497" s="147">
        <f t="shared" si="642"/>
        <v>0</v>
      </c>
      <c r="M497" s="147">
        <f t="shared" si="643"/>
        <v>0</v>
      </c>
      <c r="N497" s="147">
        <f t="shared" si="644"/>
        <v>0</v>
      </c>
      <c r="O497" s="147">
        <f t="shared" si="645"/>
        <v>0</v>
      </c>
      <c r="P497" s="148">
        <f t="shared" si="653"/>
        <v>0</v>
      </c>
      <c r="Q497" s="147">
        <f t="shared" si="654"/>
        <v>0</v>
      </c>
      <c r="R497" s="147">
        <f t="shared" si="655"/>
        <v>0</v>
      </c>
      <c r="S497" s="147">
        <f t="shared" si="656"/>
        <v>0</v>
      </c>
      <c r="T497" s="200" t="str">
        <f t="shared" si="646"/>
        <v>nvt</v>
      </c>
      <c r="U497" s="214">
        <v>1</v>
      </c>
      <c r="V497" s="214">
        <v>1</v>
      </c>
      <c r="W497" s="214">
        <v>1</v>
      </c>
      <c r="X497" s="214">
        <v>1</v>
      </c>
      <c r="Y497" s="142"/>
      <c r="Z497" s="149">
        <f t="shared" si="637"/>
        <v>0</v>
      </c>
      <c r="AA497" s="150">
        <f t="shared" si="638"/>
        <v>0</v>
      </c>
      <c r="AE497" s="582">
        <f t="shared" si="639"/>
        <v>0</v>
      </c>
      <c r="AF497" s="582">
        <f t="shared" si="640"/>
        <v>0</v>
      </c>
    </row>
    <row r="498" spans="2:32" ht="18" customHeight="1">
      <c r="B498" s="142" t="s">
        <v>454</v>
      </c>
      <c r="C498" s="221" t="s">
        <v>194</v>
      </c>
      <c r="D498" s="143">
        <v>1</v>
      </c>
      <c r="E498" s="51">
        <v>20</v>
      </c>
      <c r="F498" s="51" t="s">
        <v>353</v>
      </c>
      <c r="G498" s="63" t="s">
        <v>271</v>
      </c>
      <c r="H498" s="51" t="s">
        <v>76</v>
      </c>
      <c r="I498" s="51">
        <v>24.3</v>
      </c>
      <c r="J498" s="213">
        <v>3255</v>
      </c>
      <c r="K498" s="146">
        <f t="shared" si="641"/>
        <v>255</v>
      </c>
      <c r="L498" s="147">
        <f t="shared" si="642"/>
        <v>9.0882000000000005</v>
      </c>
      <c r="M498" s="147">
        <f t="shared" si="643"/>
        <v>0</v>
      </c>
      <c r="N498" s="147">
        <f t="shared" si="644"/>
        <v>0</v>
      </c>
      <c r="O498" s="147">
        <f t="shared" si="645"/>
        <v>0</v>
      </c>
      <c r="P498" s="148">
        <f t="shared" si="653"/>
        <v>0.374</v>
      </c>
      <c r="Q498" s="147">
        <f t="shared" si="654"/>
        <v>0</v>
      </c>
      <c r="R498" s="147">
        <f t="shared" si="655"/>
        <v>0</v>
      </c>
      <c r="S498" s="147">
        <f t="shared" si="656"/>
        <v>0</v>
      </c>
      <c r="T498" s="200" t="str">
        <f t="shared" si="646"/>
        <v>V</v>
      </c>
      <c r="U498" s="214">
        <v>1</v>
      </c>
      <c r="V498" s="214">
        <v>1</v>
      </c>
      <c r="W498" s="214">
        <v>1</v>
      </c>
      <c r="X498" s="214">
        <v>1</v>
      </c>
      <c r="Y498" s="142"/>
      <c r="Z498" s="149">
        <f t="shared" si="637"/>
        <v>6196.5</v>
      </c>
      <c r="AA498" s="150">
        <f t="shared" si="638"/>
        <v>9.0882000000000005</v>
      </c>
      <c r="AE498" s="582">
        <f t="shared" si="639"/>
        <v>0</v>
      </c>
      <c r="AF498" s="582">
        <f t="shared" si="640"/>
        <v>24.3</v>
      </c>
    </row>
    <row r="499" spans="2:32" ht="18" customHeight="1">
      <c r="B499" s="142" t="s">
        <v>454</v>
      </c>
      <c r="C499" s="221" t="s">
        <v>194</v>
      </c>
      <c r="D499" s="143">
        <v>1</v>
      </c>
      <c r="E499" s="51">
        <v>21</v>
      </c>
      <c r="F499" s="51" t="s">
        <v>278</v>
      </c>
      <c r="G499" s="63" t="s">
        <v>271</v>
      </c>
      <c r="H499" s="51" t="s">
        <v>296</v>
      </c>
      <c r="I499" s="51">
        <v>0</v>
      </c>
      <c r="J499" s="213" t="s">
        <v>161</v>
      </c>
      <c r="K499" s="146">
        <f t="shared" si="641"/>
        <v>0</v>
      </c>
      <c r="L499" s="147">
        <f t="shared" si="642"/>
        <v>0</v>
      </c>
      <c r="M499" s="147">
        <f t="shared" si="643"/>
        <v>0</v>
      </c>
      <c r="N499" s="147">
        <f t="shared" si="644"/>
        <v>0</v>
      </c>
      <c r="O499" s="147">
        <f t="shared" si="645"/>
        <v>0</v>
      </c>
      <c r="P499" s="148">
        <f t="shared" si="653"/>
        <v>0</v>
      </c>
      <c r="Q499" s="147">
        <f t="shared" si="654"/>
        <v>0</v>
      </c>
      <c r="R499" s="147">
        <f t="shared" si="655"/>
        <v>0</v>
      </c>
      <c r="S499" s="147">
        <f t="shared" si="656"/>
        <v>0</v>
      </c>
      <c r="T499" s="200" t="str">
        <f t="shared" si="646"/>
        <v>nvt</v>
      </c>
      <c r="U499" s="214">
        <v>1</v>
      </c>
      <c r="V499" s="214">
        <v>1</v>
      </c>
      <c r="W499" s="214">
        <v>1</v>
      </c>
      <c r="X499" s="214">
        <v>1</v>
      </c>
      <c r="Y499" s="142"/>
      <c r="Z499" s="149">
        <f t="shared" si="637"/>
        <v>0</v>
      </c>
      <c r="AA499" s="150">
        <f t="shared" si="638"/>
        <v>0</v>
      </c>
      <c r="AE499" s="582">
        <f t="shared" si="639"/>
        <v>0</v>
      </c>
      <c r="AF499" s="582">
        <f t="shared" si="640"/>
        <v>0</v>
      </c>
    </row>
    <row r="500" spans="2:32" ht="18" customHeight="1">
      <c r="B500" s="142" t="s">
        <v>454</v>
      </c>
      <c r="C500" s="221" t="s">
        <v>194</v>
      </c>
      <c r="D500" s="143">
        <v>1</v>
      </c>
      <c r="E500" s="51">
        <v>22</v>
      </c>
      <c r="F500" s="51" t="s">
        <v>353</v>
      </c>
      <c r="G500" s="63" t="s">
        <v>271</v>
      </c>
      <c r="H500" s="51" t="s">
        <v>76</v>
      </c>
      <c r="I500" s="51">
        <v>14.3</v>
      </c>
      <c r="J500" s="213">
        <v>3255</v>
      </c>
      <c r="K500" s="146">
        <f t="shared" si="641"/>
        <v>255</v>
      </c>
      <c r="L500" s="147">
        <f t="shared" si="642"/>
        <v>5.3482000000000003</v>
      </c>
      <c r="M500" s="147">
        <f t="shared" si="643"/>
        <v>0</v>
      </c>
      <c r="N500" s="147">
        <f t="shared" si="644"/>
        <v>0</v>
      </c>
      <c r="O500" s="147">
        <f t="shared" si="645"/>
        <v>0</v>
      </c>
      <c r="P500" s="148">
        <f t="shared" si="653"/>
        <v>0.374</v>
      </c>
      <c r="Q500" s="147">
        <f t="shared" si="654"/>
        <v>0</v>
      </c>
      <c r="R500" s="147">
        <f t="shared" si="655"/>
        <v>0</v>
      </c>
      <c r="S500" s="147">
        <f t="shared" si="656"/>
        <v>0</v>
      </c>
      <c r="T500" s="200" t="str">
        <f t="shared" si="646"/>
        <v>V</v>
      </c>
      <c r="U500" s="214">
        <v>1</v>
      </c>
      <c r="V500" s="214">
        <v>1</v>
      </c>
      <c r="W500" s="214">
        <v>1</v>
      </c>
      <c r="X500" s="214">
        <v>1</v>
      </c>
      <c r="Y500" s="142"/>
      <c r="Z500" s="149">
        <f t="shared" si="637"/>
        <v>3646.5</v>
      </c>
      <c r="AA500" s="150">
        <f t="shared" si="638"/>
        <v>5.3482000000000003</v>
      </c>
      <c r="AE500" s="582">
        <f t="shared" si="639"/>
        <v>0</v>
      </c>
      <c r="AF500" s="582">
        <f t="shared" si="640"/>
        <v>14.3</v>
      </c>
    </row>
    <row r="501" spans="2:32" ht="18" customHeight="1">
      <c r="B501" s="142" t="s">
        <v>454</v>
      </c>
      <c r="C501" s="221" t="s">
        <v>194</v>
      </c>
      <c r="D501" s="143">
        <v>1</v>
      </c>
      <c r="E501" s="51">
        <v>23</v>
      </c>
      <c r="F501" s="51" t="s">
        <v>565</v>
      </c>
      <c r="G501" s="63" t="s">
        <v>271</v>
      </c>
      <c r="H501" s="51" t="s">
        <v>296</v>
      </c>
      <c r="I501" s="51">
        <v>0</v>
      </c>
      <c r="J501" s="213" t="s">
        <v>161</v>
      </c>
      <c r="K501" s="146">
        <f t="shared" si="641"/>
        <v>0</v>
      </c>
      <c r="L501" s="147">
        <f t="shared" si="642"/>
        <v>0</v>
      </c>
      <c r="M501" s="147">
        <f t="shared" si="643"/>
        <v>0</v>
      </c>
      <c r="N501" s="147">
        <f t="shared" si="644"/>
        <v>0</v>
      </c>
      <c r="O501" s="147">
        <f t="shared" si="645"/>
        <v>0</v>
      </c>
      <c r="P501" s="148">
        <f t="shared" si="653"/>
        <v>0</v>
      </c>
      <c r="Q501" s="147">
        <f t="shared" si="654"/>
        <v>0</v>
      </c>
      <c r="R501" s="147">
        <f t="shared" si="655"/>
        <v>0</v>
      </c>
      <c r="S501" s="147">
        <f t="shared" si="656"/>
        <v>0</v>
      </c>
      <c r="T501" s="200" t="str">
        <f t="shared" si="646"/>
        <v>nvt</v>
      </c>
      <c r="U501" s="214">
        <v>1</v>
      </c>
      <c r="V501" s="214">
        <v>1</v>
      </c>
      <c r="W501" s="214">
        <v>1</v>
      </c>
      <c r="X501" s="214">
        <v>1</v>
      </c>
      <c r="Y501" s="142"/>
      <c r="Z501" s="149">
        <f t="shared" si="637"/>
        <v>0</v>
      </c>
      <c r="AA501" s="150">
        <f t="shared" si="638"/>
        <v>0</v>
      </c>
      <c r="AE501" s="582">
        <f t="shared" si="639"/>
        <v>0</v>
      </c>
      <c r="AF501" s="582">
        <f t="shared" si="640"/>
        <v>0</v>
      </c>
    </row>
    <row r="502" spans="2:32" ht="18" customHeight="1">
      <c r="B502" s="142" t="s">
        <v>454</v>
      </c>
      <c r="C502" s="221" t="s">
        <v>194</v>
      </c>
      <c r="D502" s="143">
        <v>1</v>
      </c>
      <c r="E502" s="210">
        <v>24</v>
      </c>
      <c r="F502" s="51" t="s">
        <v>262</v>
      </c>
      <c r="G502" s="63" t="s">
        <v>263</v>
      </c>
      <c r="H502" s="51" t="s">
        <v>76</v>
      </c>
      <c r="I502" s="51">
        <v>26</v>
      </c>
      <c r="J502" s="512">
        <v>1104</v>
      </c>
      <c r="K502" s="146">
        <f t="shared" si="641"/>
        <v>104</v>
      </c>
      <c r="L502" s="147">
        <f t="shared" si="642"/>
        <v>6.8713411764705885</v>
      </c>
      <c r="M502" s="147">
        <f t="shared" si="643"/>
        <v>0</v>
      </c>
      <c r="N502" s="147">
        <f t="shared" si="644"/>
        <v>0</v>
      </c>
      <c r="O502" s="147">
        <f t="shared" si="645"/>
        <v>0</v>
      </c>
      <c r="P502" s="148">
        <f t="shared" si="653"/>
        <v>0.26428235294117647</v>
      </c>
      <c r="Q502" s="147">
        <f t="shared" si="654"/>
        <v>0</v>
      </c>
      <c r="R502" s="147">
        <f t="shared" si="655"/>
        <v>0</v>
      </c>
      <c r="S502" s="147">
        <f t="shared" si="656"/>
        <v>0</v>
      </c>
      <c r="T502" s="200" t="str">
        <f t="shared" si="646"/>
        <v>B</v>
      </c>
      <c r="U502" s="214">
        <v>1</v>
      </c>
      <c r="V502" s="214">
        <v>1</v>
      </c>
      <c r="W502" s="214">
        <v>1</v>
      </c>
      <c r="X502" s="214">
        <v>1</v>
      </c>
      <c r="Y502" s="142"/>
      <c r="Z502" s="149">
        <f t="shared" si="637"/>
        <v>2704</v>
      </c>
      <c r="AA502" s="150">
        <f t="shared" si="638"/>
        <v>6.8713411764705885</v>
      </c>
      <c r="AE502" s="582">
        <f t="shared" si="639"/>
        <v>0</v>
      </c>
      <c r="AF502" s="582">
        <f t="shared" si="640"/>
        <v>26</v>
      </c>
    </row>
    <row r="503" spans="2:32" ht="18" customHeight="1">
      <c r="B503" s="142" t="s">
        <v>468</v>
      </c>
      <c r="C503" s="221" t="s">
        <v>195</v>
      </c>
      <c r="D503" s="222">
        <v>0</v>
      </c>
      <c r="E503" s="210" t="s">
        <v>261</v>
      </c>
      <c r="F503" s="227" t="s">
        <v>144</v>
      </c>
      <c r="G503" s="228" t="s">
        <v>271</v>
      </c>
      <c r="H503" s="229" t="s">
        <v>321</v>
      </c>
      <c r="I503" s="229">
        <v>40.869999999999997</v>
      </c>
      <c r="J503" s="230" t="s">
        <v>161</v>
      </c>
      <c r="K503" s="146">
        <f t="shared" si="641"/>
        <v>0</v>
      </c>
      <c r="L503" s="147">
        <f t="shared" si="642"/>
        <v>0</v>
      </c>
      <c r="M503" s="147">
        <f t="shared" si="643"/>
        <v>0</v>
      </c>
      <c r="N503" s="147">
        <f t="shared" si="644"/>
        <v>0</v>
      </c>
      <c r="O503" s="147">
        <f t="shared" si="645"/>
        <v>0</v>
      </c>
      <c r="P503" s="148">
        <f t="shared" si="653"/>
        <v>0</v>
      </c>
      <c r="Q503" s="147">
        <f t="shared" si="654"/>
        <v>0</v>
      </c>
      <c r="R503" s="147">
        <f t="shared" si="655"/>
        <v>0</v>
      </c>
      <c r="S503" s="147">
        <f t="shared" si="656"/>
        <v>0</v>
      </c>
      <c r="T503" s="200" t="str">
        <f t="shared" si="646"/>
        <v>nvt</v>
      </c>
      <c r="U503" s="214">
        <v>1</v>
      </c>
      <c r="V503" s="214">
        <v>1</v>
      </c>
      <c r="W503" s="214">
        <v>1</v>
      </c>
      <c r="X503" s="214">
        <v>1</v>
      </c>
      <c r="Y503" s="142"/>
      <c r="Z503" s="149">
        <f t="shared" si="637"/>
        <v>0</v>
      </c>
      <c r="AA503" s="150">
        <f t="shared" si="638"/>
        <v>0</v>
      </c>
      <c r="AE503" s="582">
        <f t="shared" si="639"/>
        <v>0</v>
      </c>
      <c r="AF503" s="582">
        <f t="shared" si="640"/>
        <v>0</v>
      </c>
    </row>
    <row r="504" spans="2:32" ht="18" customHeight="1">
      <c r="B504" s="142" t="s">
        <v>468</v>
      </c>
      <c r="C504" s="221" t="s">
        <v>195</v>
      </c>
      <c r="D504" s="222">
        <v>0</v>
      </c>
      <c r="E504" s="210" t="s">
        <v>264</v>
      </c>
      <c r="F504" s="227" t="s">
        <v>353</v>
      </c>
      <c r="G504" s="228" t="s">
        <v>271</v>
      </c>
      <c r="H504" s="229" t="s">
        <v>267</v>
      </c>
      <c r="I504" s="229">
        <v>8.67</v>
      </c>
      <c r="J504" s="230" t="s">
        <v>161</v>
      </c>
      <c r="K504" s="146">
        <f t="shared" si="641"/>
        <v>0</v>
      </c>
      <c r="L504" s="147">
        <f t="shared" si="642"/>
        <v>0</v>
      </c>
      <c r="M504" s="147">
        <f t="shared" si="643"/>
        <v>0</v>
      </c>
      <c r="N504" s="147">
        <f t="shared" si="644"/>
        <v>0</v>
      </c>
      <c r="O504" s="147">
        <f t="shared" si="645"/>
        <v>0</v>
      </c>
      <c r="P504" s="148">
        <f t="shared" si="653"/>
        <v>0</v>
      </c>
      <c r="Q504" s="147">
        <f t="shared" si="654"/>
        <v>0</v>
      </c>
      <c r="R504" s="147">
        <f t="shared" si="655"/>
        <v>0</v>
      </c>
      <c r="S504" s="147">
        <f t="shared" si="656"/>
        <v>0</v>
      </c>
      <c r="T504" s="200" t="str">
        <f t="shared" si="646"/>
        <v>nvt</v>
      </c>
      <c r="U504" s="214">
        <v>1</v>
      </c>
      <c r="V504" s="214">
        <v>1</v>
      </c>
      <c r="W504" s="214">
        <v>1</v>
      </c>
      <c r="X504" s="214">
        <v>1</v>
      </c>
      <c r="Y504" s="142"/>
      <c r="Z504" s="149">
        <f t="shared" si="637"/>
        <v>0</v>
      </c>
      <c r="AA504" s="150">
        <f t="shared" si="638"/>
        <v>0</v>
      </c>
      <c r="AE504" s="582">
        <f t="shared" si="639"/>
        <v>0</v>
      </c>
      <c r="AF504" s="582">
        <f t="shared" si="640"/>
        <v>0</v>
      </c>
    </row>
    <row r="505" spans="2:32" ht="18" customHeight="1">
      <c r="B505" s="142" t="s">
        <v>468</v>
      </c>
      <c r="C505" s="221" t="s">
        <v>195</v>
      </c>
      <c r="D505" s="222">
        <v>0</v>
      </c>
      <c r="E505" s="210" t="s">
        <v>268</v>
      </c>
      <c r="F505" s="160" t="s">
        <v>353</v>
      </c>
      <c r="G505" s="224" t="s">
        <v>271</v>
      </c>
      <c r="H505" s="229" t="s">
        <v>267</v>
      </c>
      <c r="I505" s="225">
        <v>5.6</v>
      </c>
      <c r="J505" s="230" t="s">
        <v>161</v>
      </c>
      <c r="K505" s="146">
        <f t="shared" si="641"/>
        <v>0</v>
      </c>
      <c r="L505" s="147">
        <f t="shared" si="642"/>
        <v>0</v>
      </c>
      <c r="M505" s="147">
        <f t="shared" si="643"/>
        <v>0</v>
      </c>
      <c r="N505" s="147">
        <f t="shared" si="644"/>
        <v>0</v>
      </c>
      <c r="O505" s="147">
        <f t="shared" si="645"/>
        <v>0</v>
      </c>
      <c r="P505" s="148">
        <f t="shared" si="653"/>
        <v>0</v>
      </c>
      <c r="Q505" s="147">
        <f t="shared" si="654"/>
        <v>0</v>
      </c>
      <c r="R505" s="147">
        <f t="shared" si="655"/>
        <v>0</v>
      </c>
      <c r="S505" s="147">
        <f t="shared" si="656"/>
        <v>0</v>
      </c>
      <c r="T505" s="200" t="str">
        <f t="shared" si="646"/>
        <v>nvt</v>
      </c>
      <c r="U505" s="214">
        <v>1</v>
      </c>
      <c r="V505" s="214">
        <v>1</v>
      </c>
      <c r="W505" s="214">
        <v>1</v>
      </c>
      <c r="X505" s="214">
        <v>1</v>
      </c>
      <c r="Y505" s="142"/>
      <c r="Z505" s="149">
        <f t="shared" si="637"/>
        <v>0</v>
      </c>
      <c r="AA505" s="150">
        <f t="shared" si="638"/>
        <v>0</v>
      </c>
      <c r="AE505" s="582">
        <f t="shared" si="639"/>
        <v>0</v>
      </c>
      <c r="AF505" s="582">
        <f t="shared" si="640"/>
        <v>0</v>
      </c>
    </row>
    <row r="506" spans="2:32" ht="18" customHeight="1">
      <c r="B506" s="142" t="s">
        <v>468</v>
      </c>
      <c r="C506" s="221" t="s">
        <v>195</v>
      </c>
      <c r="D506" s="222">
        <v>0</v>
      </c>
      <c r="E506" s="210" t="s">
        <v>474</v>
      </c>
      <c r="F506" s="227" t="s">
        <v>566</v>
      </c>
      <c r="G506" s="228" t="s">
        <v>271</v>
      </c>
      <c r="H506" s="51" t="s">
        <v>486</v>
      </c>
      <c r="I506" s="229">
        <v>359.8</v>
      </c>
      <c r="J506" s="230" t="s">
        <v>161</v>
      </c>
      <c r="K506" s="146">
        <f t="shared" si="641"/>
        <v>0</v>
      </c>
      <c r="L506" s="147">
        <f t="shared" si="642"/>
        <v>0</v>
      </c>
      <c r="M506" s="147">
        <f t="shared" si="643"/>
        <v>0</v>
      </c>
      <c r="N506" s="147">
        <f t="shared" si="644"/>
        <v>0</v>
      </c>
      <c r="O506" s="147">
        <f t="shared" si="645"/>
        <v>0</v>
      </c>
      <c r="P506" s="148">
        <f t="shared" si="653"/>
        <v>0</v>
      </c>
      <c r="Q506" s="147">
        <f t="shared" si="654"/>
        <v>0</v>
      </c>
      <c r="R506" s="147">
        <f t="shared" si="655"/>
        <v>0</v>
      </c>
      <c r="S506" s="147">
        <f t="shared" si="656"/>
        <v>0</v>
      </c>
      <c r="T506" s="200" t="str">
        <f t="shared" si="646"/>
        <v>nvt</v>
      </c>
      <c r="U506" s="214">
        <v>1</v>
      </c>
      <c r="V506" s="214">
        <v>1</v>
      </c>
      <c r="W506" s="214">
        <v>1</v>
      </c>
      <c r="X506" s="214">
        <v>1</v>
      </c>
      <c r="Y506" s="142"/>
      <c r="Z506" s="149">
        <f t="shared" si="637"/>
        <v>0</v>
      </c>
      <c r="AA506" s="150">
        <f t="shared" si="638"/>
        <v>0</v>
      </c>
      <c r="AE506" s="582">
        <f t="shared" si="639"/>
        <v>0</v>
      </c>
      <c r="AF506" s="582">
        <f t="shared" si="640"/>
        <v>0</v>
      </c>
    </row>
    <row r="507" spans="2:32" ht="18" customHeight="1">
      <c r="B507" s="142" t="s">
        <v>468</v>
      </c>
      <c r="C507" s="221" t="s">
        <v>195</v>
      </c>
      <c r="D507" s="222">
        <v>0</v>
      </c>
      <c r="E507" s="210" t="s">
        <v>477</v>
      </c>
      <c r="F507" s="227" t="s">
        <v>567</v>
      </c>
      <c r="G507" s="228" t="s">
        <v>271</v>
      </c>
      <c r="H507" s="229" t="s">
        <v>476</v>
      </c>
      <c r="I507" s="229">
        <v>74</v>
      </c>
      <c r="J507" s="230" t="s">
        <v>161</v>
      </c>
      <c r="K507" s="146">
        <f t="shared" si="641"/>
        <v>0</v>
      </c>
      <c r="L507" s="147">
        <f t="shared" si="642"/>
        <v>0</v>
      </c>
      <c r="M507" s="147">
        <f t="shared" si="643"/>
        <v>0</v>
      </c>
      <c r="N507" s="147">
        <f t="shared" si="644"/>
        <v>0</v>
      </c>
      <c r="O507" s="147">
        <f t="shared" si="645"/>
        <v>0</v>
      </c>
      <c r="P507" s="148">
        <f t="shared" si="653"/>
        <v>0</v>
      </c>
      <c r="Q507" s="147">
        <f t="shared" si="654"/>
        <v>0</v>
      </c>
      <c r="R507" s="147">
        <f t="shared" si="655"/>
        <v>0</v>
      </c>
      <c r="S507" s="147">
        <f t="shared" si="656"/>
        <v>0</v>
      </c>
      <c r="T507" s="200" t="str">
        <f t="shared" si="646"/>
        <v>nvt</v>
      </c>
      <c r="U507" s="214">
        <v>1</v>
      </c>
      <c r="V507" s="214">
        <v>1</v>
      </c>
      <c r="W507" s="214">
        <v>1</v>
      </c>
      <c r="X507" s="214">
        <v>1</v>
      </c>
      <c r="Y507" s="142"/>
      <c r="Z507" s="149">
        <f t="shared" si="637"/>
        <v>0</v>
      </c>
      <c r="AA507" s="150">
        <f t="shared" si="638"/>
        <v>0</v>
      </c>
      <c r="AE507" s="582">
        <f t="shared" si="639"/>
        <v>0</v>
      </c>
      <c r="AF507" s="582">
        <f t="shared" si="640"/>
        <v>0</v>
      </c>
    </row>
    <row r="508" spans="2:32" ht="18" customHeight="1">
      <c r="B508" s="142" t="s">
        <v>468</v>
      </c>
      <c r="C508" s="221" t="s">
        <v>195</v>
      </c>
      <c r="D508" s="222">
        <v>0</v>
      </c>
      <c r="E508" s="210" t="s">
        <v>479</v>
      </c>
      <c r="F508" s="51" t="s">
        <v>262</v>
      </c>
      <c r="G508" s="63" t="s">
        <v>263</v>
      </c>
      <c r="H508" s="51" t="s">
        <v>476</v>
      </c>
      <c r="I508" s="51">
        <v>11.67</v>
      </c>
      <c r="J508" s="230" t="s">
        <v>161</v>
      </c>
      <c r="K508" s="146">
        <f t="shared" si="641"/>
        <v>0</v>
      </c>
      <c r="L508" s="147">
        <f t="shared" si="642"/>
        <v>0</v>
      </c>
      <c r="M508" s="147">
        <f t="shared" si="643"/>
        <v>0</v>
      </c>
      <c r="N508" s="147">
        <f t="shared" si="644"/>
        <v>0</v>
      </c>
      <c r="O508" s="147">
        <f t="shared" si="645"/>
        <v>0</v>
      </c>
      <c r="P508" s="148">
        <f t="shared" si="653"/>
        <v>0</v>
      </c>
      <c r="Q508" s="147">
        <f t="shared" si="654"/>
        <v>0</v>
      </c>
      <c r="R508" s="147">
        <f t="shared" si="655"/>
        <v>0</v>
      </c>
      <c r="S508" s="147">
        <f t="shared" si="656"/>
        <v>0</v>
      </c>
      <c r="T508" s="200" t="str">
        <f t="shared" si="646"/>
        <v>nvt</v>
      </c>
      <c r="U508" s="214">
        <v>1</v>
      </c>
      <c r="V508" s="214">
        <v>1</v>
      </c>
      <c r="W508" s="214">
        <v>1</v>
      </c>
      <c r="X508" s="214">
        <v>1</v>
      </c>
      <c r="Y508" s="142"/>
      <c r="Z508" s="149">
        <f t="shared" si="637"/>
        <v>0</v>
      </c>
      <c r="AA508" s="150">
        <f t="shared" si="638"/>
        <v>0</v>
      </c>
      <c r="AE508" s="582">
        <f t="shared" si="639"/>
        <v>0</v>
      </c>
      <c r="AF508" s="582">
        <f t="shared" si="640"/>
        <v>0</v>
      </c>
    </row>
    <row r="509" spans="2:32" ht="18" customHeight="1">
      <c r="B509" s="142" t="s">
        <v>468</v>
      </c>
      <c r="C509" s="221" t="s">
        <v>195</v>
      </c>
      <c r="D509" s="222">
        <v>0</v>
      </c>
      <c r="E509" s="210" t="s">
        <v>480</v>
      </c>
      <c r="F509" s="51" t="s">
        <v>568</v>
      </c>
      <c r="G509" s="63" t="s">
        <v>271</v>
      </c>
      <c r="H509" s="229" t="s">
        <v>267</v>
      </c>
      <c r="I509" s="51">
        <v>39.68</v>
      </c>
      <c r="J509" s="230" t="s">
        <v>161</v>
      </c>
      <c r="K509" s="146">
        <f t="shared" si="641"/>
        <v>0</v>
      </c>
      <c r="L509" s="147">
        <f t="shared" si="642"/>
        <v>0</v>
      </c>
      <c r="M509" s="147">
        <f t="shared" si="643"/>
        <v>0</v>
      </c>
      <c r="N509" s="147">
        <f t="shared" si="644"/>
        <v>0</v>
      </c>
      <c r="O509" s="147">
        <f t="shared" si="645"/>
        <v>0</v>
      </c>
      <c r="P509" s="148">
        <f t="shared" si="653"/>
        <v>0</v>
      </c>
      <c r="Q509" s="147">
        <f t="shared" si="654"/>
        <v>0</v>
      </c>
      <c r="R509" s="147">
        <f t="shared" si="655"/>
        <v>0</v>
      </c>
      <c r="S509" s="147">
        <f t="shared" si="656"/>
        <v>0</v>
      </c>
      <c r="T509" s="200" t="str">
        <f t="shared" si="646"/>
        <v>nvt</v>
      </c>
      <c r="U509" s="214">
        <v>1</v>
      </c>
      <c r="V509" s="214">
        <v>1</v>
      </c>
      <c r="W509" s="214">
        <v>1</v>
      </c>
      <c r="X509" s="214">
        <v>1</v>
      </c>
      <c r="Y509" s="142"/>
      <c r="Z509" s="149">
        <f t="shared" si="637"/>
        <v>0</v>
      </c>
      <c r="AA509" s="150">
        <f t="shared" si="638"/>
        <v>0</v>
      </c>
      <c r="AE509" s="582">
        <f t="shared" si="639"/>
        <v>0</v>
      </c>
      <c r="AF509" s="582">
        <f t="shared" si="640"/>
        <v>0</v>
      </c>
    </row>
    <row r="510" spans="2:32" ht="18" customHeight="1">
      <c r="B510" s="142" t="s">
        <v>468</v>
      </c>
      <c r="C510" s="221" t="s">
        <v>195</v>
      </c>
      <c r="D510" s="222">
        <v>0</v>
      </c>
      <c r="E510" s="210" t="s">
        <v>481</v>
      </c>
      <c r="F510" s="51" t="s">
        <v>451</v>
      </c>
      <c r="G510" s="63" t="s">
        <v>266</v>
      </c>
      <c r="H510" s="51" t="s">
        <v>476</v>
      </c>
      <c r="I510" s="51">
        <v>16.350000000000001</v>
      </c>
      <c r="J510" s="230" t="s">
        <v>161</v>
      </c>
      <c r="K510" s="146">
        <f t="shared" si="641"/>
        <v>0</v>
      </c>
      <c r="L510" s="147">
        <f t="shared" si="642"/>
        <v>0</v>
      </c>
      <c r="M510" s="147">
        <f t="shared" si="643"/>
        <v>0</v>
      </c>
      <c r="N510" s="147">
        <f t="shared" si="644"/>
        <v>0</v>
      </c>
      <c r="O510" s="147">
        <f t="shared" si="645"/>
        <v>0</v>
      </c>
      <c r="P510" s="148">
        <f t="shared" si="653"/>
        <v>0</v>
      </c>
      <c r="Q510" s="147">
        <f t="shared" si="654"/>
        <v>0</v>
      </c>
      <c r="R510" s="147">
        <f t="shared" si="655"/>
        <v>0</v>
      </c>
      <c r="S510" s="147">
        <f t="shared" si="656"/>
        <v>0</v>
      </c>
      <c r="T510" s="200" t="str">
        <f t="shared" si="646"/>
        <v>nvt</v>
      </c>
      <c r="U510" s="214">
        <v>1</v>
      </c>
      <c r="V510" s="214">
        <v>1</v>
      </c>
      <c r="W510" s="214">
        <v>1</v>
      </c>
      <c r="X510" s="214">
        <v>1</v>
      </c>
      <c r="Y510" s="142"/>
      <c r="Z510" s="149">
        <f t="shared" si="637"/>
        <v>0</v>
      </c>
      <c r="AA510" s="150">
        <f t="shared" si="638"/>
        <v>0</v>
      </c>
      <c r="AE510" s="582">
        <f t="shared" si="639"/>
        <v>0</v>
      </c>
      <c r="AF510" s="582">
        <f t="shared" si="640"/>
        <v>0</v>
      </c>
    </row>
    <row r="511" spans="2:32" ht="18" customHeight="1">
      <c r="B511" s="142" t="s">
        <v>468</v>
      </c>
      <c r="C511" s="221" t="s">
        <v>195</v>
      </c>
      <c r="D511" s="222">
        <v>0</v>
      </c>
      <c r="E511" s="210" t="s">
        <v>483</v>
      </c>
      <c r="F511" s="51" t="s">
        <v>475</v>
      </c>
      <c r="G511" s="63" t="s">
        <v>266</v>
      </c>
      <c r="H511" s="51" t="s">
        <v>476</v>
      </c>
      <c r="I511" s="51">
        <v>1.95</v>
      </c>
      <c r="J511" s="230" t="s">
        <v>161</v>
      </c>
      <c r="K511" s="146">
        <f t="shared" si="641"/>
        <v>0</v>
      </c>
      <c r="L511" s="147">
        <f t="shared" si="642"/>
        <v>0</v>
      </c>
      <c r="M511" s="147">
        <f t="shared" si="643"/>
        <v>0</v>
      </c>
      <c r="N511" s="147">
        <f t="shared" si="644"/>
        <v>0</v>
      </c>
      <c r="O511" s="147">
        <f t="shared" si="645"/>
        <v>0</v>
      </c>
      <c r="P511" s="148">
        <f t="shared" si="653"/>
        <v>0</v>
      </c>
      <c r="Q511" s="147">
        <f t="shared" si="654"/>
        <v>0</v>
      </c>
      <c r="R511" s="147">
        <f t="shared" si="655"/>
        <v>0</v>
      </c>
      <c r="S511" s="147">
        <f t="shared" si="656"/>
        <v>0</v>
      </c>
      <c r="T511" s="200" t="str">
        <f t="shared" si="646"/>
        <v>nvt</v>
      </c>
      <c r="U511" s="214">
        <v>1</v>
      </c>
      <c r="V511" s="214">
        <v>1</v>
      </c>
      <c r="W511" s="214">
        <v>1</v>
      </c>
      <c r="X511" s="214">
        <v>1</v>
      </c>
      <c r="Y511" s="142"/>
      <c r="Z511" s="149">
        <f t="shared" si="637"/>
        <v>0</v>
      </c>
      <c r="AA511" s="150">
        <f t="shared" si="638"/>
        <v>0</v>
      </c>
      <c r="AE511" s="582">
        <f t="shared" si="639"/>
        <v>0</v>
      </c>
      <c r="AF511" s="582">
        <f t="shared" si="640"/>
        <v>0</v>
      </c>
    </row>
    <row r="512" spans="2:32" ht="18" customHeight="1">
      <c r="B512" s="142" t="s">
        <v>468</v>
      </c>
      <c r="C512" s="221" t="s">
        <v>195</v>
      </c>
      <c r="D512" s="222">
        <v>0</v>
      </c>
      <c r="E512" s="210" t="s">
        <v>485</v>
      </c>
      <c r="F512" s="51" t="s">
        <v>569</v>
      </c>
      <c r="G512" s="63" t="s">
        <v>271</v>
      </c>
      <c r="H512" s="51" t="s">
        <v>476</v>
      </c>
      <c r="I512" s="51">
        <v>11.49</v>
      </c>
      <c r="J512" s="230" t="s">
        <v>161</v>
      </c>
      <c r="K512" s="146">
        <f t="shared" si="641"/>
        <v>0</v>
      </c>
      <c r="L512" s="147">
        <f t="shared" si="642"/>
        <v>0</v>
      </c>
      <c r="M512" s="147">
        <f t="shared" si="643"/>
        <v>0</v>
      </c>
      <c r="N512" s="147">
        <f t="shared" si="644"/>
        <v>0</v>
      </c>
      <c r="O512" s="147">
        <f t="shared" si="645"/>
        <v>0</v>
      </c>
      <c r="P512" s="148">
        <f t="shared" si="653"/>
        <v>0</v>
      </c>
      <c r="Q512" s="147">
        <f t="shared" si="654"/>
        <v>0</v>
      </c>
      <c r="R512" s="147">
        <f t="shared" si="655"/>
        <v>0</v>
      </c>
      <c r="S512" s="147">
        <f t="shared" si="656"/>
        <v>0</v>
      </c>
      <c r="T512" s="200" t="str">
        <f t="shared" si="646"/>
        <v>nvt</v>
      </c>
      <c r="U512" s="214">
        <v>1</v>
      </c>
      <c r="V512" s="214">
        <v>1</v>
      </c>
      <c r="W512" s="214">
        <v>1</v>
      </c>
      <c r="X512" s="214">
        <v>1</v>
      </c>
      <c r="Y512" s="142"/>
      <c r="Z512" s="149">
        <f t="shared" si="637"/>
        <v>0</v>
      </c>
      <c r="AA512" s="150">
        <f t="shared" si="638"/>
        <v>0</v>
      </c>
      <c r="AE512" s="582">
        <f t="shared" si="639"/>
        <v>0</v>
      </c>
      <c r="AF512" s="582">
        <f t="shared" si="640"/>
        <v>0</v>
      </c>
    </row>
    <row r="513" spans="2:32" ht="18" customHeight="1">
      <c r="B513" s="142" t="s">
        <v>468</v>
      </c>
      <c r="C513" s="221" t="s">
        <v>195</v>
      </c>
      <c r="D513" s="222">
        <v>0</v>
      </c>
      <c r="E513" s="210" t="s">
        <v>487</v>
      </c>
      <c r="F513" s="51" t="s">
        <v>570</v>
      </c>
      <c r="G513" s="63" t="s">
        <v>271</v>
      </c>
      <c r="H513" s="229" t="s">
        <v>267</v>
      </c>
      <c r="I513" s="51">
        <v>39.68</v>
      </c>
      <c r="J513" s="230" t="s">
        <v>161</v>
      </c>
      <c r="K513" s="146">
        <f t="shared" si="641"/>
        <v>0</v>
      </c>
      <c r="L513" s="147">
        <f t="shared" si="642"/>
        <v>0</v>
      </c>
      <c r="M513" s="147">
        <f t="shared" si="643"/>
        <v>0</v>
      </c>
      <c r="N513" s="147">
        <f t="shared" si="644"/>
        <v>0</v>
      </c>
      <c r="O513" s="147">
        <f t="shared" si="645"/>
        <v>0</v>
      </c>
      <c r="P513" s="148">
        <f t="shared" si="653"/>
        <v>0</v>
      </c>
      <c r="Q513" s="147">
        <f t="shared" si="654"/>
        <v>0</v>
      </c>
      <c r="R513" s="147">
        <f t="shared" si="655"/>
        <v>0</v>
      </c>
      <c r="S513" s="147">
        <f t="shared" si="656"/>
        <v>0</v>
      </c>
      <c r="T513" s="200" t="str">
        <f t="shared" si="646"/>
        <v>nvt</v>
      </c>
      <c r="U513" s="214">
        <v>1</v>
      </c>
      <c r="V513" s="214">
        <v>1</v>
      </c>
      <c r="W513" s="214">
        <v>1</v>
      </c>
      <c r="X513" s="214">
        <v>1</v>
      </c>
      <c r="Y513" s="142"/>
      <c r="Z513" s="149">
        <f t="shared" ref="Z513:Z551" si="657">I513*K513</f>
        <v>0</v>
      </c>
      <c r="AA513" s="150">
        <f t="shared" ref="AA513:AA551" si="658">L513+M513+N513+O513</f>
        <v>0</v>
      </c>
      <c r="AE513" s="582">
        <f t="shared" ref="AE513:AE551" si="659">SUMIF(H513,"Linoleum",I513)</f>
        <v>0</v>
      </c>
      <c r="AF513" s="582">
        <f t="shared" ref="AF513:AF551" si="660">SUMIF(H513,"Tapijt",I513)</f>
        <v>0</v>
      </c>
    </row>
    <row r="514" spans="2:32" ht="18" customHeight="1">
      <c r="B514" s="142" t="s">
        <v>468</v>
      </c>
      <c r="C514" s="221" t="s">
        <v>195</v>
      </c>
      <c r="D514" s="222">
        <v>0</v>
      </c>
      <c r="E514" s="210" t="s">
        <v>571</v>
      </c>
      <c r="F514" s="51" t="s">
        <v>451</v>
      </c>
      <c r="G514" s="63" t="s">
        <v>266</v>
      </c>
      <c r="H514" s="51" t="s">
        <v>476</v>
      </c>
      <c r="I514" s="51">
        <v>16.350000000000001</v>
      </c>
      <c r="J514" s="230" t="s">
        <v>161</v>
      </c>
      <c r="K514" s="146">
        <f t="shared" ref="K514:K551" si="661">SUM(IF(J514="",0,VLOOKUP(J514,Kengetal,2)))</f>
        <v>0</v>
      </c>
      <c r="L514" s="147">
        <f t="shared" ref="L514:L551" si="662">P514*I514*U514</f>
        <v>0</v>
      </c>
      <c r="M514" s="147">
        <f t="shared" ref="M514:M551" si="663">Q514*I514*V514</f>
        <v>0</v>
      </c>
      <c r="N514" s="147">
        <f t="shared" ref="N514:N551" si="664">R514*I514*W514</f>
        <v>0</v>
      </c>
      <c r="O514" s="147">
        <f t="shared" ref="O514:O551" si="665">S514*I514*X514</f>
        <v>0</v>
      </c>
      <c r="P514" s="148">
        <f t="shared" si="653"/>
        <v>0</v>
      </c>
      <c r="Q514" s="147">
        <f t="shared" si="654"/>
        <v>0</v>
      </c>
      <c r="R514" s="147">
        <f t="shared" si="655"/>
        <v>0</v>
      </c>
      <c r="S514" s="147">
        <f t="shared" si="656"/>
        <v>0</v>
      </c>
      <c r="T514" s="200" t="str">
        <f t="shared" ref="T514:T551" si="666">IF(J514="","",VLOOKUP(J514,Kengetal,13,FALSE))</f>
        <v>nvt</v>
      </c>
      <c r="U514" s="214">
        <v>1</v>
      </c>
      <c r="V514" s="214">
        <v>1</v>
      </c>
      <c r="W514" s="214">
        <v>1</v>
      </c>
      <c r="X514" s="214">
        <v>1</v>
      </c>
      <c r="Y514" s="142"/>
      <c r="Z514" s="149">
        <f t="shared" si="657"/>
        <v>0</v>
      </c>
      <c r="AA514" s="150">
        <f t="shared" si="658"/>
        <v>0</v>
      </c>
      <c r="AE514" s="582">
        <f t="shared" si="659"/>
        <v>0</v>
      </c>
      <c r="AF514" s="582">
        <f t="shared" si="660"/>
        <v>0</v>
      </c>
    </row>
    <row r="515" spans="2:32" ht="18" customHeight="1">
      <c r="B515" s="142" t="s">
        <v>468</v>
      </c>
      <c r="C515" s="221" t="s">
        <v>195</v>
      </c>
      <c r="D515" s="222">
        <v>0</v>
      </c>
      <c r="E515" s="210" t="s">
        <v>572</v>
      </c>
      <c r="F515" s="51" t="s">
        <v>475</v>
      </c>
      <c r="G515" s="63" t="s">
        <v>266</v>
      </c>
      <c r="H515" s="51" t="s">
        <v>476</v>
      </c>
      <c r="I515" s="51">
        <v>1.95</v>
      </c>
      <c r="J515" s="230" t="s">
        <v>161</v>
      </c>
      <c r="K515" s="146">
        <f t="shared" si="661"/>
        <v>0</v>
      </c>
      <c r="L515" s="147">
        <f t="shared" si="662"/>
        <v>0</v>
      </c>
      <c r="M515" s="147">
        <f t="shared" si="663"/>
        <v>0</v>
      </c>
      <c r="N515" s="147">
        <f t="shared" si="664"/>
        <v>0</v>
      </c>
      <c r="O515" s="147">
        <f t="shared" si="665"/>
        <v>0</v>
      </c>
      <c r="P515" s="148">
        <f t="shared" si="653"/>
        <v>0</v>
      </c>
      <c r="Q515" s="147">
        <f t="shared" si="654"/>
        <v>0</v>
      </c>
      <c r="R515" s="147">
        <f t="shared" si="655"/>
        <v>0</v>
      </c>
      <c r="S515" s="147">
        <f t="shared" si="656"/>
        <v>0</v>
      </c>
      <c r="T515" s="200" t="str">
        <f t="shared" si="666"/>
        <v>nvt</v>
      </c>
      <c r="U515" s="214">
        <v>1</v>
      </c>
      <c r="V515" s="214">
        <v>1</v>
      </c>
      <c r="W515" s="214">
        <v>1</v>
      </c>
      <c r="X515" s="214">
        <v>1</v>
      </c>
      <c r="Y515" s="142"/>
      <c r="Z515" s="149">
        <f t="shared" si="657"/>
        <v>0</v>
      </c>
      <c r="AA515" s="150">
        <f t="shared" si="658"/>
        <v>0</v>
      </c>
      <c r="AE515" s="582">
        <f t="shared" si="659"/>
        <v>0</v>
      </c>
      <c r="AF515" s="582">
        <f t="shared" si="660"/>
        <v>0</v>
      </c>
    </row>
    <row r="516" spans="2:32" ht="18" customHeight="1">
      <c r="B516" s="142" t="s">
        <v>468</v>
      </c>
      <c r="C516" s="221" t="s">
        <v>195</v>
      </c>
      <c r="D516" s="222">
        <v>0</v>
      </c>
      <c r="E516" s="210" t="s">
        <v>573</v>
      </c>
      <c r="F516" s="51" t="s">
        <v>569</v>
      </c>
      <c r="G516" s="63" t="s">
        <v>271</v>
      </c>
      <c r="H516" s="51" t="s">
        <v>476</v>
      </c>
      <c r="I516" s="51">
        <v>11.49</v>
      </c>
      <c r="J516" s="230" t="s">
        <v>161</v>
      </c>
      <c r="K516" s="146">
        <f t="shared" si="661"/>
        <v>0</v>
      </c>
      <c r="L516" s="147">
        <f t="shared" si="662"/>
        <v>0</v>
      </c>
      <c r="M516" s="147">
        <f t="shared" si="663"/>
        <v>0</v>
      </c>
      <c r="N516" s="147">
        <f t="shared" si="664"/>
        <v>0</v>
      </c>
      <c r="O516" s="147">
        <f t="shared" si="665"/>
        <v>0</v>
      </c>
      <c r="P516" s="148">
        <f t="shared" si="653"/>
        <v>0</v>
      </c>
      <c r="Q516" s="147">
        <f t="shared" si="654"/>
        <v>0</v>
      </c>
      <c r="R516" s="147">
        <f t="shared" si="655"/>
        <v>0</v>
      </c>
      <c r="S516" s="147">
        <f t="shared" si="656"/>
        <v>0</v>
      </c>
      <c r="T516" s="200" t="str">
        <f t="shared" si="666"/>
        <v>nvt</v>
      </c>
      <c r="U516" s="214">
        <v>1</v>
      </c>
      <c r="V516" s="214">
        <v>1</v>
      </c>
      <c r="W516" s="214">
        <v>1</v>
      </c>
      <c r="X516" s="214">
        <v>1</v>
      </c>
      <c r="Y516" s="142"/>
      <c r="Z516" s="149">
        <f t="shared" si="657"/>
        <v>0</v>
      </c>
      <c r="AA516" s="150">
        <f t="shared" si="658"/>
        <v>0</v>
      </c>
      <c r="AE516" s="582">
        <f t="shared" si="659"/>
        <v>0</v>
      </c>
      <c r="AF516" s="582">
        <f t="shared" si="660"/>
        <v>0</v>
      </c>
    </row>
    <row r="517" spans="2:32" ht="18" customHeight="1">
      <c r="B517" s="142" t="s">
        <v>468</v>
      </c>
      <c r="C517" s="221" t="s">
        <v>195</v>
      </c>
      <c r="D517" s="222">
        <v>0</v>
      </c>
      <c r="E517" s="210" t="s">
        <v>574</v>
      </c>
      <c r="F517" s="51" t="s">
        <v>353</v>
      </c>
      <c r="G517" s="63" t="s">
        <v>271</v>
      </c>
      <c r="H517" s="229" t="s">
        <v>267</v>
      </c>
      <c r="I517" s="51">
        <v>8.67</v>
      </c>
      <c r="J517" s="230" t="s">
        <v>161</v>
      </c>
      <c r="K517" s="146">
        <f t="shared" si="661"/>
        <v>0</v>
      </c>
      <c r="L517" s="147">
        <f t="shared" si="662"/>
        <v>0</v>
      </c>
      <c r="M517" s="147">
        <f t="shared" si="663"/>
        <v>0</v>
      </c>
      <c r="N517" s="147">
        <f t="shared" si="664"/>
        <v>0</v>
      </c>
      <c r="O517" s="147">
        <f t="shared" si="665"/>
        <v>0</v>
      </c>
      <c r="P517" s="148">
        <f t="shared" si="653"/>
        <v>0</v>
      </c>
      <c r="Q517" s="147">
        <f t="shared" si="654"/>
        <v>0</v>
      </c>
      <c r="R517" s="147">
        <f t="shared" si="655"/>
        <v>0</v>
      </c>
      <c r="S517" s="147">
        <f t="shared" si="656"/>
        <v>0</v>
      </c>
      <c r="T517" s="200" t="str">
        <f t="shared" si="666"/>
        <v>nvt</v>
      </c>
      <c r="U517" s="214">
        <v>1</v>
      </c>
      <c r="V517" s="214">
        <v>1</v>
      </c>
      <c r="W517" s="214">
        <v>1</v>
      </c>
      <c r="X517" s="214">
        <v>1</v>
      </c>
      <c r="Y517" s="142"/>
      <c r="Z517" s="149">
        <f t="shared" si="657"/>
        <v>0</v>
      </c>
      <c r="AA517" s="150">
        <f t="shared" si="658"/>
        <v>0</v>
      </c>
      <c r="AE517" s="582">
        <f t="shared" si="659"/>
        <v>0</v>
      </c>
      <c r="AF517" s="582">
        <f t="shared" si="660"/>
        <v>0</v>
      </c>
    </row>
    <row r="518" spans="2:32" ht="18" customHeight="1">
      <c r="B518" s="142" t="s">
        <v>468</v>
      </c>
      <c r="C518" s="221" t="s">
        <v>195</v>
      </c>
      <c r="D518" s="222">
        <v>0</v>
      </c>
      <c r="E518" s="210" t="s">
        <v>575</v>
      </c>
      <c r="F518" s="51" t="s">
        <v>353</v>
      </c>
      <c r="G518" s="63" t="s">
        <v>271</v>
      </c>
      <c r="H518" s="229" t="s">
        <v>267</v>
      </c>
      <c r="I518" s="51">
        <v>5.6</v>
      </c>
      <c r="J518" s="230" t="s">
        <v>161</v>
      </c>
      <c r="K518" s="146">
        <f t="shared" si="661"/>
        <v>0</v>
      </c>
      <c r="L518" s="147">
        <f t="shared" si="662"/>
        <v>0</v>
      </c>
      <c r="M518" s="147">
        <f t="shared" si="663"/>
        <v>0</v>
      </c>
      <c r="N518" s="147">
        <f t="shared" si="664"/>
        <v>0</v>
      </c>
      <c r="O518" s="147">
        <f t="shared" si="665"/>
        <v>0</v>
      </c>
      <c r="P518" s="148">
        <f t="shared" si="653"/>
        <v>0</v>
      </c>
      <c r="Q518" s="147">
        <f t="shared" si="654"/>
        <v>0</v>
      </c>
      <c r="R518" s="147">
        <f t="shared" si="655"/>
        <v>0</v>
      </c>
      <c r="S518" s="147">
        <f t="shared" si="656"/>
        <v>0</v>
      </c>
      <c r="T518" s="200" t="str">
        <f t="shared" si="666"/>
        <v>nvt</v>
      </c>
      <c r="U518" s="214">
        <v>1</v>
      </c>
      <c r="V518" s="214">
        <v>1</v>
      </c>
      <c r="W518" s="214">
        <v>1</v>
      </c>
      <c r="X518" s="214">
        <v>1</v>
      </c>
      <c r="Y518" s="142"/>
      <c r="Z518" s="149">
        <f t="shared" si="657"/>
        <v>0</v>
      </c>
      <c r="AA518" s="150">
        <f t="shared" si="658"/>
        <v>0</v>
      </c>
      <c r="AE518" s="582">
        <f t="shared" si="659"/>
        <v>0</v>
      </c>
      <c r="AF518" s="582">
        <f t="shared" si="660"/>
        <v>0</v>
      </c>
    </row>
    <row r="519" spans="2:32" ht="18" customHeight="1">
      <c r="B519" s="142" t="s">
        <v>468</v>
      </c>
      <c r="C519" s="221" t="s">
        <v>195</v>
      </c>
      <c r="D519" s="222">
        <v>0</v>
      </c>
      <c r="E519" s="51" t="s">
        <v>576</v>
      </c>
      <c r="F519" s="51" t="s">
        <v>577</v>
      </c>
      <c r="G519" s="63" t="s">
        <v>271</v>
      </c>
      <c r="H519" s="229" t="s">
        <v>267</v>
      </c>
      <c r="I519" s="51">
        <v>39.68</v>
      </c>
      <c r="J519" s="230" t="s">
        <v>161</v>
      </c>
      <c r="K519" s="146">
        <f t="shared" si="661"/>
        <v>0</v>
      </c>
      <c r="L519" s="147">
        <f t="shared" si="662"/>
        <v>0</v>
      </c>
      <c r="M519" s="147">
        <f t="shared" si="663"/>
        <v>0</v>
      </c>
      <c r="N519" s="147">
        <f t="shared" si="664"/>
        <v>0</v>
      </c>
      <c r="O519" s="147">
        <f t="shared" si="665"/>
        <v>0</v>
      </c>
      <c r="P519" s="148">
        <f t="shared" si="653"/>
        <v>0</v>
      </c>
      <c r="Q519" s="147">
        <f t="shared" si="654"/>
        <v>0</v>
      </c>
      <c r="R519" s="147">
        <f t="shared" si="655"/>
        <v>0</v>
      </c>
      <c r="S519" s="147">
        <f t="shared" si="656"/>
        <v>0</v>
      </c>
      <c r="T519" s="200" t="str">
        <f t="shared" si="666"/>
        <v>nvt</v>
      </c>
      <c r="U519" s="214">
        <v>1</v>
      </c>
      <c r="V519" s="214">
        <v>1</v>
      </c>
      <c r="W519" s="214">
        <v>1</v>
      </c>
      <c r="X519" s="214">
        <v>1</v>
      </c>
      <c r="Y519" s="142"/>
      <c r="Z519" s="149">
        <f t="shared" si="657"/>
        <v>0</v>
      </c>
      <c r="AA519" s="150">
        <f t="shared" si="658"/>
        <v>0</v>
      </c>
      <c r="AE519" s="582">
        <f t="shared" si="659"/>
        <v>0</v>
      </c>
      <c r="AF519" s="582">
        <f t="shared" si="660"/>
        <v>0</v>
      </c>
    </row>
    <row r="520" spans="2:32" ht="18" customHeight="1">
      <c r="B520" s="142" t="s">
        <v>468</v>
      </c>
      <c r="C520" s="221" t="s">
        <v>195</v>
      </c>
      <c r="D520" s="222">
        <v>0</v>
      </c>
      <c r="E520" s="51" t="s">
        <v>578</v>
      </c>
      <c r="F520" s="51" t="s">
        <v>451</v>
      </c>
      <c r="G520" s="63" t="s">
        <v>266</v>
      </c>
      <c r="H520" s="51" t="s">
        <v>476</v>
      </c>
      <c r="I520" s="51">
        <v>16.350000000000001</v>
      </c>
      <c r="J520" s="230" t="s">
        <v>161</v>
      </c>
      <c r="K520" s="146">
        <f t="shared" si="661"/>
        <v>0</v>
      </c>
      <c r="L520" s="147">
        <f t="shared" si="662"/>
        <v>0</v>
      </c>
      <c r="M520" s="147">
        <f t="shared" si="663"/>
        <v>0</v>
      </c>
      <c r="N520" s="147">
        <f t="shared" si="664"/>
        <v>0</v>
      </c>
      <c r="O520" s="147">
        <f t="shared" si="665"/>
        <v>0</v>
      </c>
      <c r="P520" s="148">
        <f t="shared" si="653"/>
        <v>0</v>
      </c>
      <c r="Q520" s="147">
        <f t="shared" si="654"/>
        <v>0</v>
      </c>
      <c r="R520" s="147">
        <f t="shared" si="655"/>
        <v>0</v>
      </c>
      <c r="S520" s="147">
        <f t="shared" si="656"/>
        <v>0</v>
      </c>
      <c r="T520" s="200" t="str">
        <f t="shared" si="666"/>
        <v>nvt</v>
      </c>
      <c r="U520" s="214">
        <v>1</v>
      </c>
      <c r="V520" s="214">
        <v>1</v>
      </c>
      <c r="W520" s="214">
        <v>1</v>
      </c>
      <c r="X520" s="214">
        <v>1</v>
      </c>
      <c r="Y520" s="142"/>
      <c r="Z520" s="149">
        <f t="shared" si="657"/>
        <v>0</v>
      </c>
      <c r="AA520" s="150">
        <f t="shared" si="658"/>
        <v>0</v>
      </c>
      <c r="AE520" s="582">
        <f t="shared" si="659"/>
        <v>0</v>
      </c>
      <c r="AF520" s="582">
        <f t="shared" si="660"/>
        <v>0</v>
      </c>
    </row>
    <row r="521" spans="2:32" ht="18" customHeight="1">
      <c r="B521" s="142" t="s">
        <v>468</v>
      </c>
      <c r="C521" s="221" t="s">
        <v>195</v>
      </c>
      <c r="D521" s="222">
        <v>0</v>
      </c>
      <c r="E521" s="51" t="s">
        <v>579</v>
      </c>
      <c r="F521" s="51" t="s">
        <v>475</v>
      </c>
      <c r="G521" s="63" t="s">
        <v>266</v>
      </c>
      <c r="H521" s="51" t="s">
        <v>476</v>
      </c>
      <c r="I521" s="51">
        <v>1.95</v>
      </c>
      <c r="J521" s="230" t="s">
        <v>161</v>
      </c>
      <c r="K521" s="146">
        <f t="shared" si="661"/>
        <v>0</v>
      </c>
      <c r="L521" s="147">
        <f t="shared" si="662"/>
        <v>0</v>
      </c>
      <c r="M521" s="147">
        <f t="shared" si="663"/>
        <v>0</v>
      </c>
      <c r="N521" s="147">
        <f t="shared" si="664"/>
        <v>0</v>
      </c>
      <c r="O521" s="147">
        <f t="shared" si="665"/>
        <v>0</v>
      </c>
      <c r="P521" s="148">
        <f t="shared" si="653"/>
        <v>0</v>
      </c>
      <c r="Q521" s="147">
        <f t="shared" si="654"/>
        <v>0</v>
      </c>
      <c r="R521" s="147">
        <f t="shared" si="655"/>
        <v>0</v>
      </c>
      <c r="S521" s="147">
        <f t="shared" si="656"/>
        <v>0</v>
      </c>
      <c r="T521" s="200" t="str">
        <f t="shared" si="666"/>
        <v>nvt</v>
      </c>
      <c r="U521" s="214">
        <v>1</v>
      </c>
      <c r="V521" s="214">
        <v>1</v>
      </c>
      <c r="W521" s="214">
        <v>1</v>
      </c>
      <c r="X521" s="214">
        <v>1</v>
      </c>
      <c r="Y521" s="142"/>
      <c r="Z521" s="149">
        <f t="shared" si="657"/>
        <v>0</v>
      </c>
      <c r="AA521" s="150">
        <f t="shared" si="658"/>
        <v>0</v>
      </c>
      <c r="AE521" s="582">
        <f t="shared" si="659"/>
        <v>0</v>
      </c>
      <c r="AF521" s="582">
        <f t="shared" si="660"/>
        <v>0</v>
      </c>
    </row>
    <row r="522" spans="2:32" ht="18" customHeight="1">
      <c r="B522" s="142" t="s">
        <v>468</v>
      </c>
      <c r="C522" s="221" t="s">
        <v>195</v>
      </c>
      <c r="D522" s="222">
        <v>0</v>
      </c>
      <c r="E522" s="51" t="s">
        <v>580</v>
      </c>
      <c r="F522" s="51" t="s">
        <v>569</v>
      </c>
      <c r="G522" s="63" t="s">
        <v>271</v>
      </c>
      <c r="H522" s="51" t="s">
        <v>476</v>
      </c>
      <c r="I522" s="51">
        <v>11.49</v>
      </c>
      <c r="J522" s="230" t="s">
        <v>161</v>
      </c>
      <c r="K522" s="146">
        <f t="shared" si="661"/>
        <v>0</v>
      </c>
      <c r="L522" s="147">
        <f t="shared" si="662"/>
        <v>0</v>
      </c>
      <c r="M522" s="147">
        <f t="shared" si="663"/>
        <v>0</v>
      </c>
      <c r="N522" s="147">
        <f t="shared" si="664"/>
        <v>0</v>
      </c>
      <c r="O522" s="147">
        <f t="shared" si="665"/>
        <v>0</v>
      </c>
      <c r="P522" s="148">
        <f t="shared" si="653"/>
        <v>0</v>
      </c>
      <c r="Q522" s="147">
        <f t="shared" si="654"/>
        <v>0</v>
      </c>
      <c r="R522" s="147">
        <f t="shared" si="655"/>
        <v>0</v>
      </c>
      <c r="S522" s="147">
        <f t="shared" si="656"/>
        <v>0</v>
      </c>
      <c r="T522" s="200" t="str">
        <f t="shared" si="666"/>
        <v>nvt</v>
      </c>
      <c r="U522" s="214">
        <v>1</v>
      </c>
      <c r="V522" s="214">
        <v>1</v>
      </c>
      <c r="W522" s="214">
        <v>1</v>
      </c>
      <c r="X522" s="214">
        <v>1</v>
      </c>
      <c r="Y522" s="142"/>
      <c r="Z522" s="149">
        <f t="shared" si="657"/>
        <v>0</v>
      </c>
      <c r="AA522" s="150">
        <f t="shared" si="658"/>
        <v>0</v>
      </c>
      <c r="AE522" s="582">
        <f t="shared" si="659"/>
        <v>0</v>
      </c>
      <c r="AF522" s="582">
        <f t="shared" si="660"/>
        <v>0</v>
      </c>
    </row>
    <row r="523" spans="2:32" ht="18" customHeight="1">
      <c r="B523" s="142" t="s">
        <v>468</v>
      </c>
      <c r="C523" s="221" t="s">
        <v>195</v>
      </c>
      <c r="D523" s="222">
        <v>0</v>
      </c>
      <c r="E523" s="51" t="s">
        <v>581</v>
      </c>
      <c r="F523" s="51" t="s">
        <v>582</v>
      </c>
      <c r="G523" s="63" t="s">
        <v>271</v>
      </c>
      <c r="H523" s="229" t="s">
        <v>267</v>
      </c>
      <c r="I523" s="51">
        <v>39.68</v>
      </c>
      <c r="J523" s="230" t="s">
        <v>161</v>
      </c>
      <c r="K523" s="146">
        <f t="shared" si="661"/>
        <v>0</v>
      </c>
      <c r="L523" s="147">
        <f t="shared" si="662"/>
        <v>0</v>
      </c>
      <c r="M523" s="147">
        <f t="shared" si="663"/>
        <v>0</v>
      </c>
      <c r="N523" s="147">
        <f t="shared" si="664"/>
        <v>0</v>
      </c>
      <c r="O523" s="147">
        <f t="shared" si="665"/>
        <v>0</v>
      </c>
      <c r="P523" s="148">
        <f t="shared" si="653"/>
        <v>0</v>
      </c>
      <c r="Q523" s="147">
        <f t="shared" si="654"/>
        <v>0</v>
      </c>
      <c r="R523" s="147">
        <f t="shared" si="655"/>
        <v>0</v>
      </c>
      <c r="S523" s="147">
        <f t="shared" si="656"/>
        <v>0</v>
      </c>
      <c r="T523" s="200" t="str">
        <f t="shared" si="666"/>
        <v>nvt</v>
      </c>
      <c r="U523" s="214">
        <v>1</v>
      </c>
      <c r="V523" s="214">
        <v>1</v>
      </c>
      <c r="W523" s="214">
        <v>1</v>
      </c>
      <c r="X523" s="214">
        <v>1</v>
      </c>
      <c r="Y523" s="142"/>
      <c r="Z523" s="149">
        <f t="shared" si="657"/>
        <v>0</v>
      </c>
      <c r="AA523" s="150">
        <f t="shared" si="658"/>
        <v>0</v>
      </c>
      <c r="AE523" s="582">
        <f t="shared" si="659"/>
        <v>0</v>
      </c>
      <c r="AF523" s="582">
        <f t="shared" si="660"/>
        <v>0</v>
      </c>
    </row>
    <row r="524" spans="2:32" ht="18" customHeight="1">
      <c r="B524" s="142" t="s">
        <v>468</v>
      </c>
      <c r="C524" s="221" t="s">
        <v>195</v>
      </c>
      <c r="D524" s="222">
        <v>0</v>
      </c>
      <c r="E524" s="51" t="s">
        <v>583</v>
      </c>
      <c r="F524" s="51" t="s">
        <v>451</v>
      </c>
      <c r="G524" s="63" t="s">
        <v>266</v>
      </c>
      <c r="H524" s="51" t="s">
        <v>476</v>
      </c>
      <c r="I524" s="51">
        <v>16.350000000000001</v>
      </c>
      <c r="J524" s="230" t="s">
        <v>161</v>
      </c>
      <c r="K524" s="146">
        <f t="shared" si="661"/>
        <v>0</v>
      </c>
      <c r="L524" s="147">
        <f t="shared" si="662"/>
        <v>0</v>
      </c>
      <c r="M524" s="147">
        <f t="shared" si="663"/>
        <v>0</v>
      </c>
      <c r="N524" s="147">
        <f t="shared" si="664"/>
        <v>0</v>
      </c>
      <c r="O524" s="147">
        <f t="shared" si="665"/>
        <v>0</v>
      </c>
      <c r="P524" s="148">
        <f t="shared" si="653"/>
        <v>0</v>
      </c>
      <c r="Q524" s="147">
        <f t="shared" si="654"/>
        <v>0</v>
      </c>
      <c r="R524" s="147">
        <f t="shared" si="655"/>
        <v>0</v>
      </c>
      <c r="S524" s="147">
        <f t="shared" si="656"/>
        <v>0</v>
      </c>
      <c r="T524" s="200" t="str">
        <f t="shared" si="666"/>
        <v>nvt</v>
      </c>
      <c r="U524" s="214">
        <v>1</v>
      </c>
      <c r="V524" s="214">
        <v>1</v>
      </c>
      <c r="W524" s="214">
        <v>1</v>
      </c>
      <c r="X524" s="214">
        <v>1</v>
      </c>
      <c r="Y524" s="142"/>
      <c r="Z524" s="149">
        <f t="shared" si="657"/>
        <v>0</v>
      </c>
      <c r="AA524" s="150">
        <f t="shared" si="658"/>
        <v>0</v>
      </c>
      <c r="AE524" s="582">
        <f t="shared" si="659"/>
        <v>0</v>
      </c>
      <c r="AF524" s="582">
        <f t="shared" si="660"/>
        <v>0</v>
      </c>
    </row>
    <row r="525" spans="2:32" ht="18" customHeight="1">
      <c r="B525" s="142" t="s">
        <v>468</v>
      </c>
      <c r="C525" s="221" t="s">
        <v>195</v>
      </c>
      <c r="D525" s="222">
        <v>0</v>
      </c>
      <c r="E525" s="51" t="s">
        <v>584</v>
      </c>
      <c r="F525" s="51" t="s">
        <v>475</v>
      </c>
      <c r="G525" s="63" t="s">
        <v>266</v>
      </c>
      <c r="H525" s="51" t="s">
        <v>476</v>
      </c>
      <c r="I525" s="51">
        <v>1.95</v>
      </c>
      <c r="J525" s="230" t="s">
        <v>161</v>
      </c>
      <c r="K525" s="146">
        <f t="shared" si="661"/>
        <v>0</v>
      </c>
      <c r="L525" s="147">
        <f t="shared" si="662"/>
        <v>0</v>
      </c>
      <c r="M525" s="147">
        <f t="shared" si="663"/>
        <v>0</v>
      </c>
      <c r="N525" s="147">
        <f t="shared" si="664"/>
        <v>0</v>
      </c>
      <c r="O525" s="147">
        <f t="shared" si="665"/>
        <v>0</v>
      </c>
      <c r="P525" s="148">
        <f t="shared" si="653"/>
        <v>0</v>
      </c>
      <c r="Q525" s="147">
        <f t="shared" si="654"/>
        <v>0</v>
      </c>
      <c r="R525" s="147">
        <f t="shared" si="655"/>
        <v>0</v>
      </c>
      <c r="S525" s="147">
        <f t="shared" si="656"/>
        <v>0</v>
      </c>
      <c r="T525" s="200" t="str">
        <f t="shared" si="666"/>
        <v>nvt</v>
      </c>
      <c r="U525" s="214">
        <v>1</v>
      </c>
      <c r="V525" s="214">
        <v>1</v>
      </c>
      <c r="W525" s="214">
        <v>1</v>
      </c>
      <c r="X525" s="214">
        <v>1</v>
      </c>
      <c r="Y525" s="142"/>
      <c r="Z525" s="149">
        <f t="shared" si="657"/>
        <v>0</v>
      </c>
      <c r="AA525" s="150">
        <f t="shared" si="658"/>
        <v>0</v>
      </c>
      <c r="AE525" s="582">
        <f t="shared" si="659"/>
        <v>0</v>
      </c>
      <c r="AF525" s="582">
        <f t="shared" si="660"/>
        <v>0</v>
      </c>
    </row>
    <row r="526" spans="2:32" ht="18" customHeight="1">
      <c r="B526" s="142" t="s">
        <v>468</v>
      </c>
      <c r="C526" s="221" t="s">
        <v>195</v>
      </c>
      <c r="D526" s="222">
        <v>0</v>
      </c>
      <c r="E526" s="51" t="s">
        <v>585</v>
      </c>
      <c r="F526" s="51" t="s">
        <v>569</v>
      </c>
      <c r="G526" s="63" t="s">
        <v>271</v>
      </c>
      <c r="H526" s="51" t="s">
        <v>476</v>
      </c>
      <c r="I526" s="51">
        <v>11.49</v>
      </c>
      <c r="J526" s="230" t="s">
        <v>161</v>
      </c>
      <c r="K526" s="146">
        <f t="shared" si="661"/>
        <v>0</v>
      </c>
      <c r="L526" s="147">
        <f t="shared" si="662"/>
        <v>0</v>
      </c>
      <c r="M526" s="147">
        <f t="shared" si="663"/>
        <v>0</v>
      </c>
      <c r="N526" s="147">
        <f t="shared" si="664"/>
        <v>0</v>
      </c>
      <c r="O526" s="147">
        <f t="shared" si="665"/>
        <v>0</v>
      </c>
      <c r="P526" s="148">
        <f t="shared" si="653"/>
        <v>0</v>
      </c>
      <c r="Q526" s="147">
        <f t="shared" si="654"/>
        <v>0</v>
      </c>
      <c r="R526" s="147">
        <f t="shared" si="655"/>
        <v>0</v>
      </c>
      <c r="S526" s="147">
        <f t="shared" si="656"/>
        <v>0</v>
      </c>
      <c r="T526" s="200" t="str">
        <f t="shared" si="666"/>
        <v>nvt</v>
      </c>
      <c r="U526" s="214">
        <v>1</v>
      </c>
      <c r="V526" s="214">
        <v>1</v>
      </c>
      <c r="W526" s="214">
        <v>1</v>
      </c>
      <c r="X526" s="214">
        <v>1</v>
      </c>
      <c r="Y526" s="142"/>
      <c r="Z526" s="149">
        <f t="shared" si="657"/>
        <v>0</v>
      </c>
      <c r="AA526" s="150">
        <f t="shared" si="658"/>
        <v>0</v>
      </c>
      <c r="AE526" s="582">
        <f t="shared" si="659"/>
        <v>0</v>
      </c>
      <c r="AF526" s="582">
        <f t="shared" si="660"/>
        <v>0</v>
      </c>
    </row>
    <row r="527" spans="2:32" ht="18" customHeight="1">
      <c r="B527" s="142" t="s">
        <v>468</v>
      </c>
      <c r="C527" s="221" t="s">
        <v>195</v>
      </c>
      <c r="D527" s="222">
        <v>0</v>
      </c>
      <c r="E527" s="51" t="s">
        <v>586</v>
      </c>
      <c r="F527" s="51" t="s">
        <v>587</v>
      </c>
      <c r="G527" s="63" t="s">
        <v>271</v>
      </c>
      <c r="H527" s="229" t="s">
        <v>267</v>
      </c>
      <c r="I527" s="51">
        <v>8.67</v>
      </c>
      <c r="J527" s="230" t="s">
        <v>161</v>
      </c>
      <c r="K527" s="146">
        <f t="shared" si="661"/>
        <v>0</v>
      </c>
      <c r="L527" s="147">
        <f t="shared" si="662"/>
        <v>0</v>
      </c>
      <c r="M527" s="147">
        <f t="shared" si="663"/>
        <v>0</v>
      </c>
      <c r="N527" s="147">
        <f t="shared" si="664"/>
        <v>0</v>
      </c>
      <c r="O527" s="147">
        <f t="shared" si="665"/>
        <v>0</v>
      </c>
      <c r="P527" s="148">
        <f t="shared" si="653"/>
        <v>0</v>
      </c>
      <c r="Q527" s="147">
        <f t="shared" si="654"/>
        <v>0</v>
      </c>
      <c r="R527" s="147">
        <f t="shared" si="655"/>
        <v>0</v>
      </c>
      <c r="S527" s="147">
        <f t="shared" si="656"/>
        <v>0</v>
      </c>
      <c r="T527" s="200" t="str">
        <f t="shared" si="666"/>
        <v>nvt</v>
      </c>
      <c r="U527" s="214">
        <v>1</v>
      </c>
      <c r="V527" s="214">
        <v>1</v>
      </c>
      <c r="W527" s="214">
        <v>1</v>
      </c>
      <c r="X527" s="214">
        <v>1</v>
      </c>
      <c r="Y527" s="142"/>
      <c r="Z527" s="149">
        <f t="shared" si="657"/>
        <v>0</v>
      </c>
      <c r="AA527" s="150">
        <f t="shared" si="658"/>
        <v>0</v>
      </c>
      <c r="AE527" s="582">
        <f t="shared" si="659"/>
        <v>0</v>
      </c>
      <c r="AF527" s="582">
        <f t="shared" si="660"/>
        <v>0</v>
      </c>
    </row>
    <row r="528" spans="2:32" ht="18" customHeight="1">
      <c r="B528" s="142" t="s">
        <v>468</v>
      </c>
      <c r="C528" s="221" t="s">
        <v>195</v>
      </c>
      <c r="D528" s="222">
        <v>0</v>
      </c>
      <c r="E528" s="51" t="s">
        <v>588</v>
      </c>
      <c r="F528" s="51" t="s">
        <v>527</v>
      </c>
      <c r="G528" s="63" t="s">
        <v>271</v>
      </c>
      <c r="H528" s="229" t="s">
        <v>267</v>
      </c>
      <c r="I528" s="51">
        <v>38.880000000000003</v>
      </c>
      <c r="J528" s="230" t="s">
        <v>161</v>
      </c>
      <c r="K528" s="146">
        <f t="shared" si="661"/>
        <v>0</v>
      </c>
      <c r="L528" s="147">
        <f t="shared" si="662"/>
        <v>0</v>
      </c>
      <c r="M528" s="147">
        <f t="shared" si="663"/>
        <v>0</v>
      </c>
      <c r="N528" s="147">
        <f t="shared" si="664"/>
        <v>0</v>
      </c>
      <c r="O528" s="147">
        <f t="shared" si="665"/>
        <v>0</v>
      </c>
      <c r="P528" s="148">
        <f t="shared" si="653"/>
        <v>0</v>
      </c>
      <c r="Q528" s="147">
        <f t="shared" si="654"/>
        <v>0</v>
      </c>
      <c r="R528" s="147">
        <f t="shared" si="655"/>
        <v>0</v>
      </c>
      <c r="S528" s="147">
        <f t="shared" si="656"/>
        <v>0</v>
      </c>
      <c r="T528" s="200" t="str">
        <f t="shared" si="666"/>
        <v>nvt</v>
      </c>
      <c r="U528" s="214">
        <v>1</v>
      </c>
      <c r="V528" s="214">
        <v>1</v>
      </c>
      <c r="W528" s="214">
        <v>1</v>
      </c>
      <c r="X528" s="214">
        <v>1</v>
      </c>
      <c r="Y528" s="142"/>
      <c r="Z528" s="149">
        <f t="shared" si="657"/>
        <v>0</v>
      </c>
      <c r="AA528" s="150">
        <f t="shared" si="658"/>
        <v>0</v>
      </c>
      <c r="AE528" s="582">
        <f t="shared" si="659"/>
        <v>0</v>
      </c>
      <c r="AF528" s="582">
        <f t="shared" si="660"/>
        <v>0</v>
      </c>
    </row>
    <row r="529" spans="2:32" ht="18" customHeight="1">
      <c r="B529" s="142" t="s">
        <v>468</v>
      </c>
      <c r="C529" s="221" t="s">
        <v>195</v>
      </c>
      <c r="D529" s="222">
        <v>0</v>
      </c>
      <c r="E529" s="51" t="s">
        <v>589</v>
      </c>
      <c r="F529" s="51" t="s">
        <v>501</v>
      </c>
      <c r="G529" s="63" t="s">
        <v>271</v>
      </c>
      <c r="H529" s="51" t="s">
        <v>557</v>
      </c>
      <c r="I529" s="51">
        <v>12</v>
      </c>
      <c r="J529" s="230" t="s">
        <v>161</v>
      </c>
      <c r="K529" s="146">
        <f t="shared" si="661"/>
        <v>0</v>
      </c>
      <c r="L529" s="147">
        <f t="shared" si="662"/>
        <v>0</v>
      </c>
      <c r="M529" s="147">
        <f t="shared" si="663"/>
        <v>0</v>
      </c>
      <c r="N529" s="147">
        <f t="shared" si="664"/>
        <v>0</v>
      </c>
      <c r="O529" s="147">
        <f t="shared" si="665"/>
        <v>0</v>
      </c>
      <c r="P529" s="148">
        <f t="shared" si="653"/>
        <v>0</v>
      </c>
      <c r="Q529" s="147">
        <f t="shared" si="654"/>
        <v>0</v>
      </c>
      <c r="R529" s="147">
        <f t="shared" si="655"/>
        <v>0</v>
      </c>
      <c r="S529" s="147">
        <f t="shared" si="656"/>
        <v>0</v>
      </c>
      <c r="T529" s="200" t="str">
        <f t="shared" si="666"/>
        <v>nvt</v>
      </c>
      <c r="U529" s="214">
        <v>1</v>
      </c>
      <c r="V529" s="214">
        <v>1</v>
      </c>
      <c r="W529" s="214">
        <v>1</v>
      </c>
      <c r="X529" s="214">
        <v>1</v>
      </c>
      <c r="Y529" s="142"/>
      <c r="Z529" s="149">
        <f t="shared" si="657"/>
        <v>0</v>
      </c>
      <c r="AA529" s="150">
        <f t="shared" si="658"/>
        <v>0</v>
      </c>
      <c r="AE529" s="582">
        <f t="shared" si="659"/>
        <v>0</v>
      </c>
      <c r="AF529" s="582">
        <f t="shared" si="660"/>
        <v>0</v>
      </c>
    </row>
    <row r="530" spans="2:32" ht="18" customHeight="1">
      <c r="B530" s="142" t="s">
        <v>468</v>
      </c>
      <c r="C530" s="221" t="s">
        <v>195</v>
      </c>
      <c r="D530" s="222">
        <v>0</v>
      </c>
      <c r="E530" s="51" t="s">
        <v>590</v>
      </c>
      <c r="F530" s="51" t="s">
        <v>283</v>
      </c>
      <c r="G530" s="63" t="s">
        <v>271</v>
      </c>
      <c r="H530" s="51" t="s">
        <v>476</v>
      </c>
      <c r="I530" s="51">
        <v>69</v>
      </c>
      <c r="J530" s="230" t="s">
        <v>161</v>
      </c>
      <c r="K530" s="146">
        <f t="shared" si="661"/>
        <v>0</v>
      </c>
      <c r="L530" s="147">
        <f t="shared" si="662"/>
        <v>0</v>
      </c>
      <c r="M530" s="147">
        <f t="shared" si="663"/>
        <v>0</v>
      </c>
      <c r="N530" s="147">
        <f t="shared" si="664"/>
        <v>0</v>
      </c>
      <c r="O530" s="147">
        <f t="shared" si="665"/>
        <v>0</v>
      </c>
      <c r="P530" s="148">
        <f t="shared" si="653"/>
        <v>0</v>
      </c>
      <c r="Q530" s="147">
        <f t="shared" si="654"/>
        <v>0</v>
      </c>
      <c r="R530" s="147">
        <f t="shared" si="655"/>
        <v>0</v>
      </c>
      <c r="S530" s="147">
        <f t="shared" si="656"/>
        <v>0</v>
      </c>
      <c r="T530" s="200" t="str">
        <f t="shared" si="666"/>
        <v>nvt</v>
      </c>
      <c r="U530" s="214">
        <v>1</v>
      </c>
      <c r="V530" s="214">
        <v>1</v>
      </c>
      <c r="W530" s="214">
        <v>1</v>
      </c>
      <c r="X530" s="214">
        <v>1</v>
      </c>
      <c r="Y530" s="142"/>
      <c r="Z530" s="149">
        <f t="shared" si="657"/>
        <v>0</v>
      </c>
      <c r="AA530" s="150">
        <f t="shared" si="658"/>
        <v>0</v>
      </c>
      <c r="AE530" s="582">
        <f t="shared" si="659"/>
        <v>0</v>
      </c>
      <c r="AF530" s="582">
        <f t="shared" si="660"/>
        <v>0</v>
      </c>
    </row>
    <row r="531" spans="2:32" ht="18" customHeight="1">
      <c r="B531" s="142" t="s">
        <v>468</v>
      </c>
      <c r="C531" s="221" t="s">
        <v>195</v>
      </c>
      <c r="D531" s="222">
        <v>0</v>
      </c>
      <c r="E531" s="51" t="s">
        <v>591</v>
      </c>
      <c r="F531" s="51" t="s">
        <v>592</v>
      </c>
      <c r="G531" s="63" t="s">
        <v>266</v>
      </c>
      <c r="H531" s="51" t="s">
        <v>476</v>
      </c>
      <c r="I531" s="51">
        <v>3.98</v>
      </c>
      <c r="J531" s="230" t="s">
        <v>161</v>
      </c>
      <c r="K531" s="146">
        <f t="shared" si="661"/>
        <v>0</v>
      </c>
      <c r="L531" s="147">
        <f t="shared" si="662"/>
        <v>0</v>
      </c>
      <c r="M531" s="147">
        <f t="shared" si="663"/>
        <v>0</v>
      </c>
      <c r="N531" s="147">
        <f t="shared" si="664"/>
        <v>0</v>
      </c>
      <c r="O531" s="147">
        <f t="shared" si="665"/>
        <v>0</v>
      </c>
      <c r="P531" s="148">
        <f t="shared" si="653"/>
        <v>0</v>
      </c>
      <c r="Q531" s="147">
        <f t="shared" si="654"/>
        <v>0</v>
      </c>
      <c r="R531" s="147">
        <f t="shared" si="655"/>
        <v>0</v>
      </c>
      <c r="S531" s="147">
        <f t="shared" si="656"/>
        <v>0</v>
      </c>
      <c r="T531" s="200" t="str">
        <f t="shared" si="666"/>
        <v>nvt</v>
      </c>
      <c r="U531" s="214">
        <v>1</v>
      </c>
      <c r="V531" s="214">
        <v>1</v>
      </c>
      <c r="W531" s="214">
        <v>1</v>
      </c>
      <c r="X531" s="214">
        <v>1</v>
      </c>
      <c r="Y531" s="142"/>
      <c r="Z531" s="149">
        <f t="shared" si="657"/>
        <v>0</v>
      </c>
      <c r="AA531" s="150">
        <f t="shared" si="658"/>
        <v>0</v>
      </c>
      <c r="AE531" s="582">
        <f t="shared" si="659"/>
        <v>0</v>
      </c>
      <c r="AF531" s="582">
        <f t="shared" si="660"/>
        <v>0</v>
      </c>
    </row>
    <row r="532" spans="2:32" ht="18" customHeight="1">
      <c r="B532" s="142" t="s">
        <v>468</v>
      </c>
      <c r="C532" s="221" t="s">
        <v>195</v>
      </c>
      <c r="D532" s="143">
        <v>1</v>
      </c>
      <c r="E532" s="51" t="s">
        <v>593</v>
      </c>
      <c r="F532" s="51" t="s">
        <v>594</v>
      </c>
      <c r="G532" s="63" t="s">
        <v>271</v>
      </c>
      <c r="H532" s="51" t="s">
        <v>418</v>
      </c>
      <c r="I532" s="51">
        <v>23</v>
      </c>
      <c r="J532" s="230" t="s">
        <v>161</v>
      </c>
      <c r="K532" s="146">
        <f t="shared" si="661"/>
        <v>0</v>
      </c>
      <c r="L532" s="147">
        <f t="shared" si="662"/>
        <v>0</v>
      </c>
      <c r="M532" s="147">
        <f t="shared" si="663"/>
        <v>0</v>
      </c>
      <c r="N532" s="147">
        <f t="shared" si="664"/>
        <v>0</v>
      </c>
      <c r="O532" s="147">
        <f t="shared" si="665"/>
        <v>0</v>
      </c>
      <c r="P532" s="148">
        <f t="shared" si="653"/>
        <v>0</v>
      </c>
      <c r="Q532" s="147">
        <f t="shared" si="654"/>
        <v>0</v>
      </c>
      <c r="R532" s="147">
        <f t="shared" si="655"/>
        <v>0</v>
      </c>
      <c r="S532" s="147">
        <f t="shared" si="656"/>
        <v>0</v>
      </c>
      <c r="T532" s="200" t="str">
        <f t="shared" si="666"/>
        <v>nvt</v>
      </c>
      <c r="U532" s="214">
        <v>1</v>
      </c>
      <c r="V532" s="214">
        <v>1</v>
      </c>
      <c r="W532" s="214">
        <v>1</v>
      </c>
      <c r="X532" s="214">
        <v>1</v>
      </c>
      <c r="Y532" s="142"/>
      <c r="Z532" s="149">
        <f t="shared" si="657"/>
        <v>0</v>
      </c>
      <c r="AA532" s="150">
        <f t="shared" si="658"/>
        <v>0</v>
      </c>
      <c r="AE532" s="582">
        <f t="shared" si="659"/>
        <v>23</v>
      </c>
      <c r="AF532" s="582">
        <f t="shared" si="660"/>
        <v>0</v>
      </c>
    </row>
    <row r="533" spans="2:32" ht="18" customHeight="1">
      <c r="B533" s="142" t="s">
        <v>468</v>
      </c>
      <c r="C533" s="221" t="s">
        <v>195</v>
      </c>
      <c r="D533" s="143">
        <v>1</v>
      </c>
      <c r="E533" s="51" t="s">
        <v>595</v>
      </c>
      <c r="F533" s="51" t="s">
        <v>596</v>
      </c>
      <c r="G533" s="63" t="s">
        <v>271</v>
      </c>
      <c r="H533" s="51" t="s">
        <v>418</v>
      </c>
      <c r="I533" s="51">
        <v>120</v>
      </c>
      <c r="J533" s="230" t="s">
        <v>161</v>
      </c>
      <c r="K533" s="146">
        <f t="shared" si="661"/>
        <v>0</v>
      </c>
      <c r="L533" s="147">
        <f t="shared" si="662"/>
        <v>0</v>
      </c>
      <c r="M533" s="147">
        <f t="shared" si="663"/>
        <v>0</v>
      </c>
      <c r="N533" s="147">
        <f t="shared" si="664"/>
        <v>0</v>
      </c>
      <c r="O533" s="147">
        <f t="shared" si="665"/>
        <v>0</v>
      </c>
      <c r="P533" s="148">
        <f t="shared" si="653"/>
        <v>0</v>
      </c>
      <c r="Q533" s="147">
        <f t="shared" si="654"/>
        <v>0</v>
      </c>
      <c r="R533" s="147">
        <f t="shared" si="655"/>
        <v>0</v>
      </c>
      <c r="S533" s="147">
        <f t="shared" si="656"/>
        <v>0</v>
      </c>
      <c r="T533" s="200" t="str">
        <f t="shared" si="666"/>
        <v>nvt</v>
      </c>
      <c r="U533" s="214">
        <v>1</v>
      </c>
      <c r="V533" s="214">
        <v>1</v>
      </c>
      <c r="W533" s="214">
        <v>1</v>
      </c>
      <c r="X533" s="214">
        <v>1</v>
      </c>
      <c r="Y533" s="142"/>
      <c r="Z533" s="149">
        <f t="shared" si="657"/>
        <v>0</v>
      </c>
      <c r="AA533" s="150">
        <f t="shared" si="658"/>
        <v>0</v>
      </c>
      <c r="AE533" s="582">
        <f t="shared" si="659"/>
        <v>120</v>
      </c>
      <c r="AF533" s="582">
        <f t="shared" si="660"/>
        <v>0</v>
      </c>
    </row>
    <row r="534" spans="2:32" ht="18" customHeight="1">
      <c r="B534" s="142" t="s">
        <v>454</v>
      </c>
      <c r="C534" s="221" t="s">
        <v>196</v>
      </c>
      <c r="D534" s="222">
        <v>0</v>
      </c>
      <c r="E534" s="51"/>
      <c r="F534" s="51" t="s">
        <v>339</v>
      </c>
      <c r="G534" s="63" t="s">
        <v>271</v>
      </c>
      <c r="H534" s="51" t="s">
        <v>296</v>
      </c>
      <c r="I534" s="51">
        <v>32.6</v>
      </c>
      <c r="J534" s="213">
        <v>3156</v>
      </c>
      <c r="K534" s="146">
        <f t="shared" si="661"/>
        <v>156</v>
      </c>
      <c r="L534" s="147">
        <f t="shared" si="662"/>
        <v>8.2047680000000014</v>
      </c>
      <c r="M534" s="147">
        <f t="shared" si="663"/>
        <v>0</v>
      </c>
      <c r="N534" s="147">
        <f t="shared" si="664"/>
        <v>0</v>
      </c>
      <c r="O534" s="147">
        <f t="shared" si="665"/>
        <v>0</v>
      </c>
      <c r="P534" s="148">
        <f t="shared" ref="P534:P551" si="667">IF($J534="",0,VLOOKUP($J534,Kengetal,5,FALSE))</f>
        <v>0.25168000000000001</v>
      </c>
      <c r="Q534" s="147">
        <f t="shared" ref="Q534:Q551" si="668">IF($J534="",0,VLOOKUP($J534,Kengetal,6,FALSE))</f>
        <v>0</v>
      </c>
      <c r="R534" s="147">
        <f t="shared" ref="R534:R551" si="669">IF($J534="",0,VLOOKUP($J534,Kengetal,7,FALSE))</f>
        <v>0</v>
      </c>
      <c r="S534" s="147">
        <f t="shared" ref="S534:S551" si="670">IF($J534="",0,VLOOKUP($J534,Kengetal,8,FALSE))</f>
        <v>0</v>
      </c>
      <c r="T534" s="200" t="str">
        <f t="shared" si="666"/>
        <v>V</v>
      </c>
      <c r="U534" s="214">
        <v>1</v>
      </c>
      <c r="V534" s="214">
        <v>1</v>
      </c>
      <c r="W534" s="214">
        <v>1</v>
      </c>
      <c r="X534" s="214">
        <v>1</v>
      </c>
      <c r="Y534" s="142"/>
      <c r="Z534" s="149">
        <f t="shared" si="657"/>
        <v>5085.6000000000004</v>
      </c>
      <c r="AA534" s="150">
        <f t="shared" si="658"/>
        <v>8.2047680000000014</v>
      </c>
      <c r="AE534" s="582">
        <f t="shared" si="659"/>
        <v>0</v>
      </c>
      <c r="AF534" s="582">
        <f t="shared" si="660"/>
        <v>0</v>
      </c>
    </row>
    <row r="535" spans="2:32" ht="18" customHeight="1">
      <c r="B535" s="142" t="s">
        <v>454</v>
      </c>
      <c r="C535" s="221" t="s">
        <v>196</v>
      </c>
      <c r="D535" s="222">
        <v>0</v>
      </c>
      <c r="E535" s="51"/>
      <c r="F535" s="51" t="s">
        <v>262</v>
      </c>
      <c r="G535" s="63" t="s">
        <v>263</v>
      </c>
      <c r="H535" s="51" t="s">
        <v>296</v>
      </c>
      <c r="I535" s="51">
        <v>9.6999999999999993</v>
      </c>
      <c r="J535" s="213">
        <v>1104</v>
      </c>
      <c r="K535" s="146">
        <f t="shared" si="661"/>
        <v>104</v>
      </c>
      <c r="L535" s="147">
        <f t="shared" si="662"/>
        <v>2.5635388235294116</v>
      </c>
      <c r="M535" s="147">
        <f t="shared" si="663"/>
        <v>0</v>
      </c>
      <c r="N535" s="147">
        <f t="shared" si="664"/>
        <v>0</v>
      </c>
      <c r="O535" s="147">
        <f t="shared" si="665"/>
        <v>0</v>
      </c>
      <c r="P535" s="148">
        <f t="shared" si="667"/>
        <v>0.26428235294117647</v>
      </c>
      <c r="Q535" s="147">
        <f t="shared" si="668"/>
        <v>0</v>
      </c>
      <c r="R535" s="147">
        <f t="shared" si="669"/>
        <v>0</v>
      </c>
      <c r="S535" s="147">
        <f t="shared" si="670"/>
        <v>0</v>
      </c>
      <c r="T535" s="200" t="str">
        <f t="shared" si="666"/>
        <v>B</v>
      </c>
      <c r="U535" s="214">
        <v>1</v>
      </c>
      <c r="V535" s="214">
        <v>1</v>
      </c>
      <c r="W535" s="214">
        <v>1</v>
      </c>
      <c r="X535" s="214">
        <v>1</v>
      </c>
      <c r="Y535" s="142"/>
      <c r="Z535" s="149">
        <f t="shared" si="657"/>
        <v>1008.8</v>
      </c>
      <c r="AA535" s="150">
        <f t="shared" si="658"/>
        <v>2.5635388235294116</v>
      </c>
      <c r="AE535" s="582">
        <f t="shared" si="659"/>
        <v>0</v>
      </c>
      <c r="AF535" s="582">
        <f t="shared" si="660"/>
        <v>0</v>
      </c>
    </row>
    <row r="536" spans="2:32" ht="18" customHeight="1">
      <c r="B536" s="142" t="s">
        <v>454</v>
      </c>
      <c r="C536" s="221" t="s">
        <v>196</v>
      </c>
      <c r="D536" s="222">
        <v>0</v>
      </c>
      <c r="E536" s="51"/>
      <c r="F536" s="51" t="s">
        <v>339</v>
      </c>
      <c r="G536" s="63" t="s">
        <v>271</v>
      </c>
      <c r="H536" s="51" t="s">
        <v>76</v>
      </c>
      <c r="I536" s="51">
        <v>6.2</v>
      </c>
      <c r="J536" s="213">
        <v>3156</v>
      </c>
      <c r="K536" s="146">
        <f t="shared" si="661"/>
        <v>156</v>
      </c>
      <c r="L536" s="147">
        <f t="shared" si="662"/>
        <v>1.5604160000000002</v>
      </c>
      <c r="M536" s="147">
        <f t="shared" si="663"/>
        <v>0</v>
      </c>
      <c r="N536" s="147">
        <f t="shared" si="664"/>
        <v>0</v>
      </c>
      <c r="O536" s="147">
        <f t="shared" si="665"/>
        <v>0</v>
      </c>
      <c r="P536" s="148">
        <f t="shared" si="667"/>
        <v>0.25168000000000001</v>
      </c>
      <c r="Q536" s="147">
        <f t="shared" si="668"/>
        <v>0</v>
      </c>
      <c r="R536" s="147">
        <f t="shared" si="669"/>
        <v>0</v>
      </c>
      <c r="S536" s="147">
        <f t="shared" si="670"/>
        <v>0</v>
      </c>
      <c r="T536" s="200" t="str">
        <f t="shared" si="666"/>
        <v>V</v>
      </c>
      <c r="U536" s="214">
        <v>1</v>
      </c>
      <c r="V536" s="214">
        <v>1</v>
      </c>
      <c r="W536" s="214">
        <v>1</v>
      </c>
      <c r="X536" s="214">
        <v>1</v>
      </c>
      <c r="Y536" s="142"/>
      <c r="Z536" s="149">
        <f t="shared" si="657"/>
        <v>967.2</v>
      </c>
      <c r="AA536" s="150">
        <f t="shared" si="658"/>
        <v>1.5604160000000002</v>
      </c>
      <c r="AE536" s="582">
        <f t="shared" si="659"/>
        <v>0</v>
      </c>
      <c r="AF536" s="582">
        <f t="shared" si="660"/>
        <v>6.2</v>
      </c>
    </row>
    <row r="537" spans="2:32" ht="18" customHeight="1">
      <c r="B537" s="142" t="s">
        <v>454</v>
      </c>
      <c r="C537" s="221" t="s">
        <v>196</v>
      </c>
      <c r="D537" s="222">
        <v>0</v>
      </c>
      <c r="E537" s="51"/>
      <c r="F537" s="51" t="s">
        <v>281</v>
      </c>
      <c r="G537" s="63" t="s">
        <v>271</v>
      </c>
      <c r="H537" s="51" t="s">
        <v>76</v>
      </c>
      <c r="I537" s="51">
        <v>4.2</v>
      </c>
      <c r="J537" s="213">
        <v>5156</v>
      </c>
      <c r="K537" s="146">
        <f t="shared" si="661"/>
        <v>156</v>
      </c>
      <c r="L537" s="147">
        <f t="shared" si="662"/>
        <v>2.2130343529411771</v>
      </c>
      <c r="M537" s="147">
        <f t="shared" si="663"/>
        <v>0</v>
      </c>
      <c r="N537" s="147">
        <f t="shared" si="664"/>
        <v>0</v>
      </c>
      <c r="O537" s="147">
        <f t="shared" si="665"/>
        <v>0</v>
      </c>
      <c r="P537" s="148">
        <f t="shared" si="667"/>
        <v>0.52691294117647069</v>
      </c>
      <c r="Q537" s="147">
        <f t="shared" si="668"/>
        <v>0</v>
      </c>
      <c r="R537" s="147">
        <f t="shared" si="669"/>
        <v>0</v>
      </c>
      <c r="S537" s="147">
        <f t="shared" si="670"/>
        <v>0</v>
      </c>
      <c r="T537" s="200" t="str">
        <f t="shared" si="666"/>
        <v>V</v>
      </c>
      <c r="U537" s="214">
        <v>1</v>
      </c>
      <c r="V537" s="214">
        <v>1</v>
      </c>
      <c r="W537" s="214">
        <v>1</v>
      </c>
      <c r="X537" s="214">
        <v>1</v>
      </c>
      <c r="Y537" s="142"/>
      <c r="Z537" s="149">
        <f t="shared" si="657"/>
        <v>655.20000000000005</v>
      </c>
      <c r="AA537" s="150">
        <f t="shared" si="658"/>
        <v>2.2130343529411771</v>
      </c>
      <c r="AE537" s="582">
        <f t="shared" si="659"/>
        <v>0</v>
      </c>
      <c r="AF537" s="582">
        <f t="shared" si="660"/>
        <v>4.2</v>
      </c>
    </row>
    <row r="538" spans="2:32" ht="18" customHeight="1">
      <c r="B538" s="142" t="s">
        <v>454</v>
      </c>
      <c r="C538" s="221" t="s">
        <v>196</v>
      </c>
      <c r="D538" s="222">
        <v>0</v>
      </c>
      <c r="E538" s="51"/>
      <c r="F538" s="51" t="s">
        <v>597</v>
      </c>
      <c r="G538" s="63" t="s">
        <v>271</v>
      </c>
      <c r="H538" s="51" t="s">
        <v>301</v>
      </c>
      <c r="I538" s="51">
        <v>60.6</v>
      </c>
      <c r="J538" s="213">
        <v>18156</v>
      </c>
      <c r="K538" s="146">
        <f t="shared" si="661"/>
        <v>156</v>
      </c>
      <c r="L538" s="147">
        <f t="shared" si="662"/>
        <v>23.407855058823529</v>
      </c>
      <c r="M538" s="147">
        <f t="shared" si="663"/>
        <v>0</v>
      </c>
      <c r="N538" s="147">
        <f t="shared" si="664"/>
        <v>0</v>
      </c>
      <c r="O538" s="147">
        <f t="shared" si="665"/>
        <v>0</v>
      </c>
      <c r="P538" s="148">
        <f t="shared" si="667"/>
        <v>0.38626823529411763</v>
      </c>
      <c r="Q538" s="147">
        <f t="shared" si="668"/>
        <v>0</v>
      </c>
      <c r="R538" s="147">
        <f t="shared" si="669"/>
        <v>0</v>
      </c>
      <c r="S538" s="147">
        <f t="shared" si="670"/>
        <v>0</v>
      </c>
      <c r="T538" s="200" t="str">
        <f t="shared" si="666"/>
        <v>V</v>
      </c>
      <c r="U538" s="214">
        <v>1</v>
      </c>
      <c r="V538" s="214">
        <v>1</v>
      </c>
      <c r="W538" s="214">
        <v>1</v>
      </c>
      <c r="X538" s="214">
        <v>1</v>
      </c>
      <c r="Y538" s="142"/>
      <c r="Z538" s="149">
        <f t="shared" si="657"/>
        <v>9453.6</v>
      </c>
      <c r="AA538" s="150">
        <f t="shared" si="658"/>
        <v>23.407855058823529</v>
      </c>
      <c r="AE538" s="582">
        <f t="shared" si="659"/>
        <v>0</v>
      </c>
      <c r="AF538" s="582">
        <f t="shared" si="660"/>
        <v>0</v>
      </c>
    </row>
    <row r="539" spans="2:32" ht="18" customHeight="1">
      <c r="B539" s="142" t="s">
        <v>454</v>
      </c>
      <c r="C539" s="221" t="s">
        <v>196</v>
      </c>
      <c r="D539" s="222">
        <v>0</v>
      </c>
      <c r="E539" s="51"/>
      <c r="F539" s="51" t="s">
        <v>353</v>
      </c>
      <c r="G539" s="63" t="s">
        <v>271</v>
      </c>
      <c r="H539" s="51" t="s">
        <v>272</v>
      </c>
      <c r="I539" s="51">
        <v>8</v>
      </c>
      <c r="J539" s="213">
        <v>3156</v>
      </c>
      <c r="K539" s="146">
        <f t="shared" si="661"/>
        <v>156</v>
      </c>
      <c r="L539" s="147">
        <f t="shared" si="662"/>
        <v>2.0134400000000001</v>
      </c>
      <c r="M539" s="147">
        <f t="shared" si="663"/>
        <v>0</v>
      </c>
      <c r="N539" s="147">
        <f t="shared" si="664"/>
        <v>0</v>
      </c>
      <c r="O539" s="147">
        <f t="shared" si="665"/>
        <v>0</v>
      </c>
      <c r="P539" s="148">
        <f t="shared" si="667"/>
        <v>0.25168000000000001</v>
      </c>
      <c r="Q539" s="147">
        <f t="shared" si="668"/>
        <v>0</v>
      </c>
      <c r="R539" s="147">
        <f t="shared" si="669"/>
        <v>0</v>
      </c>
      <c r="S539" s="147">
        <f t="shared" si="670"/>
        <v>0</v>
      </c>
      <c r="T539" s="200" t="str">
        <f t="shared" si="666"/>
        <v>V</v>
      </c>
      <c r="U539" s="214">
        <v>1</v>
      </c>
      <c r="V539" s="214">
        <v>1</v>
      </c>
      <c r="W539" s="214">
        <v>1</v>
      </c>
      <c r="X539" s="214">
        <v>1</v>
      </c>
      <c r="Y539" s="142"/>
      <c r="Z539" s="149">
        <f t="shared" si="657"/>
        <v>1248</v>
      </c>
      <c r="AA539" s="150">
        <f t="shared" si="658"/>
        <v>2.0134400000000001</v>
      </c>
      <c r="AE539" s="582">
        <f t="shared" si="659"/>
        <v>0</v>
      </c>
      <c r="AF539" s="582">
        <f t="shared" si="660"/>
        <v>0</v>
      </c>
    </row>
    <row r="540" spans="2:32" ht="18" customHeight="1">
      <c r="B540" s="142" t="s">
        <v>454</v>
      </c>
      <c r="C540" s="221" t="s">
        <v>196</v>
      </c>
      <c r="D540" s="222">
        <v>0</v>
      </c>
      <c r="E540" s="51"/>
      <c r="F540" s="51" t="s">
        <v>597</v>
      </c>
      <c r="G540" s="63" t="s">
        <v>271</v>
      </c>
      <c r="H540" s="51" t="s">
        <v>301</v>
      </c>
      <c r="I540" s="51">
        <v>78</v>
      </c>
      <c r="J540" s="213">
        <v>18156</v>
      </c>
      <c r="K540" s="146">
        <f t="shared" si="661"/>
        <v>156</v>
      </c>
      <c r="L540" s="147">
        <f t="shared" si="662"/>
        <v>30.128922352941174</v>
      </c>
      <c r="M540" s="147">
        <f t="shared" si="663"/>
        <v>0</v>
      </c>
      <c r="N540" s="147">
        <f t="shared" si="664"/>
        <v>0</v>
      </c>
      <c r="O540" s="147">
        <f t="shared" si="665"/>
        <v>0</v>
      </c>
      <c r="P540" s="148">
        <f t="shared" si="667"/>
        <v>0.38626823529411763</v>
      </c>
      <c r="Q540" s="147">
        <f t="shared" si="668"/>
        <v>0</v>
      </c>
      <c r="R540" s="147">
        <f t="shared" si="669"/>
        <v>0</v>
      </c>
      <c r="S540" s="147">
        <f t="shared" si="670"/>
        <v>0</v>
      </c>
      <c r="T540" s="200" t="str">
        <f t="shared" si="666"/>
        <v>V</v>
      </c>
      <c r="U540" s="214">
        <v>1</v>
      </c>
      <c r="V540" s="214">
        <v>1</v>
      </c>
      <c r="W540" s="214">
        <v>1</v>
      </c>
      <c r="X540" s="214">
        <v>1</v>
      </c>
      <c r="Y540" s="142"/>
      <c r="Z540" s="149">
        <f t="shared" si="657"/>
        <v>12168</v>
      </c>
      <c r="AA540" s="150">
        <f t="shared" si="658"/>
        <v>30.128922352941174</v>
      </c>
      <c r="AE540" s="582">
        <f t="shared" si="659"/>
        <v>0</v>
      </c>
      <c r="AF540" s="582">
        <f t="shared" si="660"/>
        <v>0</v>
      </c>
    </row>
    <row r="541" spans="2:32" ht="18" customHeight="1">
      <c r="B541" s="142" t="s">
        <v>454</v>
      </c>
      <c r="C541" s="221" t="s">
        <v>196</v>
      </c>
      <c r="D541" s="222">
        <v>0</v>
      </c>
      <c r="E541" s="51"/>
      <c r="F541" s="51" t="s">
        <v>363</v>
      </c>
      <c r="G541" s="63" t="s">
        <v>266</v>
      </c>
      <c r="H541" s="51" t="s">
        <v>272</v>
      </c>
      <c r="I541" s="51">
        <v>3.1</v>
      </c>
      <c r="J541" s="213">
        <v>2156</v>
      </c>
      <c r="K541" s="146">
        <f t="shared" si="661"/>
        <v>156</v>
      </c>
      <c r="L541" s="147">
        <f t="shared" si="662"/>
        <v>6.6922654117647076</v>
      </c>
      <c r="M541" s="147">
        <f t="shared" si="663"/>
        <v>0</v>
      </c>
      <c r="N541" s="147">
        <f t="shared" si="664"/>
        <v>0</v>
      </c>
      <c r="O541" s="147">
        <f t="shared" si="665"/>
        <v>0</v>
      </c>
      <c r="P541" s="148">
        <f t="shared" si="667"/>
        <v>2.1587952941176476</v>
      </c>
      <c r="Q541" s="147">
        <f t="shared" si="668"/>
        <v>0</v>
      </c>
      <c r="R541" s="147">
        <f t="shared" si="669"/>
        <v>0</v>
      </c>
      <c r="S541" s="147">
        <f t="shared" si="670"/>
        <v>0</v>
      </c>
      <c r="T541" s="200" t="str">
        <f t="shared" si="666"/>
        <v>S</v>
      </c>
      <c r="U541" s="214">
        <v>1</v>
      </c>
      <c r="V541" s="214">
        <v>1</v>
      </c>
      <c r="W541" s="214">
        <v>1</v>
      </c>
      <c r="X541" s="214">
        <v>1</v>
      </c>
      <c r="Y541" s="142"/>
      <c r="Z541" s="149">
        <f t="shared" si="657"/>
        <v>483.6</v>
      </c>
      <c r="AA541" s="150">
        <f t="shared" si="658"/>
        <v>6.6922654117647076</v>
      </c>
      <c r="AE541" s="582">
        <f t="shared" si="659"/>
        <v>0</v>
      </c>
      <c r="AF541" s="582">
        <f t="shared" si="660"/>
        <v>0</v>
      </c>
    </row>
    <row r="542" spans="2:32" ht="18" customHeight="1">
      <c r="B542" s="142" t="s">
        <v>454</v>
      </c>
      <c r="C542" s="221" t="s">
        <v>196</v>
      </c>
      <c r="D542" s="222">
        <v>0</v>
      </c>
      <c r="E542" s="51"/>
      <c r="F542" s="51" t="s">
        <v>363</v>
      </c>
      <c r="G542" s="63" t="s">
        <v>266</v>
      </c>
      <c r="H542" s="51" t="s">
        <v>272</v>
      </c>
      <c r="I542" s="51">
        <v>3.2</v>
      </c>
      <c r="J542" s="213">
        <v>2156</v>
      </c>
      <c r="K542" s="146">
        <f t="shared" si="661"/>
        <v>156</v>
      </c>
      <c r="L542" s="147">
        <f t="shared" si="662"/>
        <v>6.9081449411764728</v>
      </c>
      <c r="M542" s="147">
        <f t="shared" si="663"/>
        <v>0</v>
      </c>
      <c r="N542" s="147">
        <f t="shared" si="664"/>
        <v>0</v>
      </c>
      <c r="O542" s="147">
        <f t="shared" si="665"/>
        <v>0</v>
      </c>
      <c r="P542" s="148">
        <f t="shared" si="667"/>
        <v>2.1587952941176476</v>
      </c>
      <c r="Q542" s="147">
        <f t="shared" si="668"/>
        <v>0</v>
      </c>
      <c r="R542" s="147">
        <f t="shared" si="669"/>
        <v>0</v>
      </c>
      <c r="S542" s="147">
        <f t="shared" si="670"/>
        <v>0</v>
      </c>
      <c r="T542" s="200" t="str">
        <f t="shared" si="666"/>
        <v>S</v>
      </c>
      <c r="U542" s="214">
        <v>1</v>
      </c>
      <c r="V542" s="214">
        <v>1</v>
      </c>
      <c r="W542" s="214">
        <v>1</v>
      </c>
      <c r="X542" s="214">
        <v>1</v>
      </c>
      <c r="Y542" s="142"/>
      <c r="Z542" s="149">
        <f t="shared" si="657"/>
        <v>499.20000000000005</v>
      </c>
      <c r="AA542" s="150">
        <f t="shared" si="658"/>
        <v>6.9081449411764728</v>
      </c>
      <c r="AE542" s="582">
        <f t="shared" si="659"/>
        <v>0</v>
      </c>
      <c r="AF542" s="582">
        <f t="shared" si="660"/>
        <v>0</v>
      </c>
    </row>
    <row r="543" spans="2:32" ht="18" customHeight="1">
      <c r="B543" s="142" t="s">
        <v>454</v>
      </c>
      <c r="C543" s="221" t="s">
        <v>196</v>
      </c>
      <c r="D543" s="222">
        <v>0</v>
      </c>
      <c r="E543" s="51"/>
      <c r="F543" s="51" t="s">
        <v>598</v>
      </c>
      <c r="G543" s="63" t="s">
        <v>271</v>
      </c>
      <c r="H543" s="51" t="s">
        <v>301</v>
      </c>
      <c r="I543" s="51">
        <v>1.2</v>
      </c>
      <c r="J543" s="213" t="s">
        <v>161</v>
      </c>
      <c r="K543" s="146">
        <f t="shared" si="661"/>
        <v>0</v>
      </c>
      <c r="L543" s="147">
        <f t="shared" si="662"/>
        <v>0</v>
      </c>
      <c r="M543" s="147">
        <f t="shared" si="663"/>
        <v>0</v>
      </c>
      <c r="N543" s="147">
        <f t="shared" si="664"/>
        <v>0</v>
      </c>
      <c r="O543" s="147">
        <f t="shared" si="665"/>
        <v>0</v>
      </c>
      <c r="P543" s="148">
        <f t="shared" si="667"/>
        <v>0</v>
      </c>
      <c r="Q543" s="147">
        <f t="shared" si="668"/>
        <v>0</v>
      </c>
      <c r="R543" s="147">
        <f t="shared" si="669"/>
        <v>0</v>
      </c>
      <c r="S543" s="147">
        <f t="shared" si="670"/>
        <v>0</v>
      </c>
      <c r="T543" s="200" t="str">
        <f t="shared" si="666"/>
        <v>nvt</v>
      </c>
      <c r="U543" s="214">
        <v>1</v>
      </c>
      <c r="V543" s="214">
        <v>1</v>
      </c>
      <c r="W543" s="214">
        <v>1</v>
      </c>
      <c r="X543" s="214">
        <v>1</v>
      </c>
      <c r="Y543" s="142"/>
      <c r="Z543" s="149">
        <f t="shared" si="657"/>
        <v>0</v>
      </c>
      <c r="AA543" s="150">
        <f t="shared" si="658"/>
        <v>0</v>
      </c>
      <c r="AE543" s="582">
        <f t="shared" si="659"/>
        <v>0</v>
      </c>
      <c r="AF543" s="582">
        <f t="shared" si="660"/>
        <v>0</v>
      </c>
    </row>
    <row r="544" spans="2:32" ht="18" customHeight="1">
      <c r="B544" s="142" t="s">
        <v>454</v>
      </c>
      <c r="C544" s="221" t="s">
        <v>196</v>
      </c>
      <c r="D544" s="143">
        <v>1</v>
      </c>
      <c r="E544" s="51"/>
      <c r="F544" s="51" t="s">
        <v>274</v>
      </c>
      <c r="G544" s="63" t="s">
        <v>263</v>
      </c>
      <c r="H544" s="51" t="s">
        <v>76</v>
      </c>
      <c r="I544" s="51">
        <v>35</v>
      </c>
      <c r="J544" s="213">
        <v>15104</v>
      </c>
      <c r="K544" s="146">
        <f t="shared" si="661"/>
        <v>104</v>
      </c>
      <c r="L544" s="147">
        <f t="shared" si="662"/>
        <v>9.5068235294117649</v>
      </c>
      <c r="M544" s="147">
        <f t="shared" si="663"/>
        <v>0</v>
      </c>
      <c r="N544" s="147">
        <f t="shared" si="664"/>
        <v>0</v>
      </c>
      <c r="O544" s="147">
        <f t="shared" si="665"/>
        <v>0</v>
      </c>
      <c r="P544" s="148">
        <f t="shared" si="667"/>
        <v>0.27162352941176471</v>
      </c>
      <c r="Q544" s="147">
        <f t="shared" si="668"/>
        <v>0</v>
      </c>
      <c r="R544" s="147">
        <f t="shared" si="669"/>
        <v>0</v>
      </c>
      <c r="S544" s="147">
        <f t="shared" si="670"/>
        <v>0</v>
      </c>
      <c r="T544" s="200" t="str">
        <f t="shared" si="666"/>
        <v>B</v>
      </c>
      <c r="U544" s="214">
        <v>1</v>
      </c>
      <c r="V544" s="214">
        <v>1</v>
      </c>
      <c r="W544" s="214">
        <v>1</v>
      </c>
      <c r="X544" s="214">
        <v>1</v>
      </c>
      <c r="Y544" s="142"/>
      <c r="Z544" s="149">
        <f t="shared" si="657"/>
        <v>3640</v>
      </c>
      <c r="AA544" s="150">
        <f t="shared" si="658"/>
        <v>9.5068235294117649</v>
      </c>
      <c r="AE544" s="582">
        <f t="shared" si="659"/>
        <v>0</v>
      </c>
      <c r="AF544" s="582">
        <f t="shared" si="660"/>
        <v>35</v>
      </c>
    </row>
    <row r="545" spans="2:32" ht="18" customHeight="1">
      <c r="B545" s="142" t="s">
        <v>454</v>
      </c>
      <c r="C545" s="221" t="s">
        <v>196</v>
      </c>
      <c r="D545" s="143">
        <v>1</v>
      </c>
      <c r="E545" s="51"/>
      <c r="F545" s="51" t="s">
        <v>412</v>
      </c>
      <c r="G545" s="63" t="s">
        <v>271</v>
      </c>
      <c r="H545" s="51" t="s">
        <v>76</v>
      </c>
      <c r="I545" s="51">
        <v>78</v>
      </c>
      <c r="J545" s="213">
        <v>18156</v>
      </c>
      <c r="K545" s="146">
        <f t="shared" si="661"/>
        <v>156</v>
      </c>
      <c r="L545" s="147">
        <f t="shared" si="662"/>
        <v>30.128922352941174</v>
      </c>
      <c r="M545" s="147">
        <f t="shared" si="663"/>
        <v>0</v>
      </c>
      <c r="N545" s="147">
        <f t="shared" si="664"/>
        <v>0</v>
      </c>
      <c r="O545" s="147">
        <f t="shared" si="665"/>
        <v>0</v>
      </c>
      <c r="P545" s="148">
        <f t="shared" si="667"/>
        <v>0.38626823529411763</v>
      </c>
      <c r="Q545" s="147">
        <f t="shared" si="668"/>
        <v>0</v>
      </c>
      <c r="R545" s="147">
        <f t="shared" si="669"/>
        <v>0</v>
      </c>
      <c r="S545" s="147">
        <f t="shared" si="670"/>
        <v>0</v>
      </c>
      <c r="T545" s="200" t="str">
        <f t="shared" si="666"/>
        <v>V</v>
      </c>
      <c r="U545" s="214">
        <v>1</v>
      </c>
      <c r="V545" s="214">
        <v>1</v>
      </c>
      <c r="W545" s="214">
        <v>1</v>
      </c>
      <c r="X545" s="214">
        <v>1</v>
      </c>
      <c r="Y545" s="142"/>
      <c r="Z545" s="149">
        <f t="shared" si="657"/>
        <v>12168</v>
      </c>
      <c r="AA545" s="150">
        <f t="shared" si="658"/>
        <v>30.128922352941174</v>
      </c>
      <c r="AE545" s="582">
        <f t="shared" si="659"/>
        <v>0</v>
      </c>
      <c r="AF545" s="582">
        <f t="shared" si="660"/>
        <v>78</v>
      </c>
    </row>
    <row r="546" spans="2:32" ht="18" customHeight="1">
      <c r="B546" s="142" t="s">
        <v>454</v>
      </c>
      <c r="C546" s="221" t="s">
        <v>196</v>
      </c>
      <c r="D546" s="143">
        <v>1</v>
      </c>
      <c r="E546" s="51"/>
      <c r="F546" s="51" t="s">
        <v>496</v>
      </c>
      <c r="G546" s="63" t="s">
        <v>271</v>
      </c>
      <c r="H546" s="51" t="s">
        <v>76</v>
      </c>
      <c r="I546" s="51">
        <v>15.3</v>
      </c>
      <c r="J546" s="213">
        <v>6156</v>
      </c>
      <c r="K546" s="146">
        <f t="shared" si="661"/>
        <v>156</v>
      </c>
      <c r="L546" s="147">
        <f t="shared" si="662"/>
        <v>11.572704000000003</v>
      </c>
      <c r="M546" s="147">
        <f t="shared" si="663"/>
        <v>0</v>
      </c>
      <c r="N546" s="147">
        <f t="shared" si="664"/>
        <v>0</v>
      </c>
      <c r="O546" s="147">
        <f t="shared" si="665"/>
        <v>0</v>
      </c>
      <c r="P546" s="148">
        <f t="shared" si="667"/>
        <v>0.75638588235294135</v>
      </c>
      <c r="Q546" s="147">
        <f t="shared" si="668"/>
        <v>0</v>
      </c>
      <c r="R546" s="147">
        <f t="shared" si="669"/>
        <v>0</v>
      </c>
      <c r="S546" s="147">
        <f t="shared" si="670"/>
        <v>0</v>
      </c>
      <c r="T546" s="200" t="str">
        <f t="shared" si="666"/>
        <v>V</v>
      </c>
      <c r="U546" s="214">
        <v>1</v>
      </c>
      <c r="V546" s="214">
        <v>1</v>
      </c>
      <c r="W546" s="214">
        <v>1</v>
      </c>
      <c r="X546" s="214">
        <v>1</v>
      </c>
      <c r="Y546" s="142"/>
      <c r="Z546" s="149">
        <f t="shared" si="657"/>
        <v>2386.8000000000002</v>
      </c>
      <c r="AA546" s="150">
        <f t="shared" si="658"/>
        <v>11.572704000000003</v>
      </c>
      <c r="AE546" s="582">
        <f t="shared" si="659"/>
        <v>0</v>
      </c>
      <c r="AF546" s="582">
        <f t="shared" si="660"/>
        <v>15.3</v>
      </c>
    </row>
    <row r="547" spans="2:32" ht="18" customHeight="1">
      <c r="B547" s="142" t="s">
        <v>454</v>
      </c>
      <c r="C547" s="221" t="s">
        <v>196</v>
      </c>
      <c r="D547" s="143">
        <v>1</v>
      </c>
      <c r="E547" s="51"/>
      <c r="F547" s="51" t="s">
        <v>353</v>
      </c>
      <c r="G547" s="63" t="s">
        <v>271</v>
      </c>
      <c r="H547" s="51" t="s">
        <v>76</v>
      </c>
      <c r="I547" s="51">
        <v>28.8</v>
      </c>
      <c r="J547" s="213">
        <v>3156</v>
      </c>
      <c r="K547" s="146">
        <f t="shared" si="661"/>
        <v>156</v>
      </c>
      <c r="L547" s="147">
        <f t="shared" si="662"/>
        <v>7.2483840000000006</v>
      </c>
      <c r="M547" s="147">
        <f t="shared" si="663"/>
        <v>0</v>
      </c>
      <c r="N547" s="147">
        <f t="shared" si="664"/>
        <v>0</v>
      </c>
      <c r="O547" s="147">
        <f t="shared" si="665"/>
        <v>0</v>
      </c>
      <c r="P547" s="148">
        <f t="shared" si="667"/>
        <v>0.25168000000000001</v>
      </c>
      <c r="Q547" s="147">
        <f t="shared" si="668"/>
        <v>0</v>
      </c>
      <c r="R547" s="147">
        <f t="shared" si="669"/>
        <v>0</v>
      </c>
      <c r="S547" s="147">
        <f t="shared" si="670"/>
        <v>0</v>
      </c>
      <c r="T547" s="200" t="str">
        <f t="shared" si="666"/>
        <v>V</v>
      </c>
      <c r="U547" s="214">
        <v>1</v>
      </c>
      <c r="V547" s="214">
        <v>1</v>
      </c>
      <c r="W547" s="214">
        <v>1</v>
      </c>
      <c r="X547" s="214">
        <v>1</v>
      </c>
      <c r="Y547" s="142"/>
      <c r="Z547" s="149">
        <f t="shared" si="657"/>
        <v>4492.8</v>
      </c>
      <c r="AA547" s="150">
        <f t="shared" si="658"/>
        <v>7.2483840000000006</v>
      </c>
      <c r="AE547" s="582">
        <f t="shared" si="659"/>
        <v>0</v>
      </c>
      <c r="AF547" s="582">
        <f t="shared" si="660"/>
        <v>28.8</v>
      </c>
    </row>
    <row r="548" spans="2:32" ht="18" customHeight="1">
      <c r="B548" s="142" t="s">
        <v>454</v>
      </c>
      <c r="C548" s="221" t="s">
        <v>196</v>
      </c>
      <c r="D548" s="143">
        <v>1</v>
      </c>
      <c r="E548" s="51"/>
      <c r="F548" s="51" t="s">
        <v>283</v>
      </c>
      <c r="G548" s="63" t="s">
        <v>271</v>
      </c>
      <c r="H548" s="51" t="s">
        <v>301</v>
      </c>
      <c r="I548" s="51">
        <v>11.7</v>
      </c>
      <c r="J548" s="213" t="s">
        <v>161</v>
      </c>
      <c r="K548" s="146">
        <f t="shared" si="661"/>
        <v>0</v>
      </c>
      <c r="L548" s="147">
        <f t="shared" si="662"/>
        <v>0</v>
      </c>
      <c r="M548" s="147">
        <f t="shared" si="663"/>
        <v>0</v>
      </c>
      <c r="N548" s="147">
        <f t="shared" si="664"/>
        <v>0</v>
      </c>
      <c r="O548" s="147">
        <f t="shared" si="665"/>
        <v>0</v>
      </c>
      <c r="P548" s="148">
        <f t="shared" si="667"/>
        <v>0</v>
      </c>
      <c r="Q548" s="147">
        <f t="shared" si="668"/>
        <v>0</v>
      </c>
      <c r="R548" s="147">
        <f t="shared" si="669"/>
        <v>0</v>
      </c>
      <c r="S548" s="147">
        <f t="shared" si="670"/>
        <v>0</v>
      </c>
      <c r="T548" s="200" t="str">
        <f t="shared" si="666"/>
        <v>nvt</v>
      </c>
      <c r="U548" s="214">
        <v>1</v>
      </c>
      <c r="V548" s="214">
        <v>1</v>
      </c>
      <c r="W548" s="214">
        <v>1</v>
      </c>
      <c r="X548" s="214">
        <v>1</v>
      </c>
      <c r="Y548" s="142"/>
      <c r="Z548" s="149">
        <f t="shared" si="657"/>
        <v>0</v>
      </c>
      <c r="AA548" s="150">
        <f t="shared" si="658"/>
        <v>0</v>
      </c>
      <c r="AE548" s="582">
        <f t="shared" si="659"/>
        <v>0</v>
      </c>
      <c r="AF548" s="582">
        <f t="shared" si="660"/>
        <v>0</v>
      </c>
    </row>
    <row r="549" spans="2:32" ht="18" customHeight="1">
      <c r="B549" s="142" t="s">
        <v>454</v>
      </c>
      <c r="C549" s="221" t="s">
        <v>196</v>
      </c>
      <c r="D549" s="143">
        <v>1</v>
      </c>
      <c r="E549" s="51"/>
      <c r="F549" s="51" t="s">
        <v>597</v>
      </c>
      <c r="G549" s="63" t="s">
        <v>271</v>
      </c>
      <c r="H549" s="51" t="s">
        <v>301</v>
      </c>
      <c r="I549" s="51">
        <v>37.9</v>
      </c>
      <c r="J549" s="213">
        <v>18156</v>
      </c>
      <c r="K549" s="146">
        <f t="shared" si="661"/>
        <v>156</v>
      </c>
      <c r="L549" s="147">
        <f t="shared" si="662"/>
        <v>14.639566117647059</v>
      </c>
      <c r="M549" s="147">
        <f t="shared" si="663"/>
        <v>0</v>
      </c>
      <c r="N549" s="147">
        <f t="shared" si="664"/>
        <v>0</v>
      </c>
      <c r="O549" s="147">
        <f t="shared" si="665"/>
        <v>0</v>
      </c>
      <c r="P549" s="148">
        <f t="shared" si="667"/>
        <v>0.38626823529411763</v>
      </c>
      <c r="Q549" s="147">
        <f t="shared" si="668"/>
        <v>0</v>
      </c>
      <c r="R549" s="147">
        <f t="shared" si="669"/>
        <v>0</v>
      </c>
      <c r="S549" s="147">
        <f t="shared" si="670"/>
        <v>0</v>
      </c>
      <c r="T549" s="200" t="str">
        <f t="shared" si="666"/>
        <v>V</v>
      </c>
      <c r="U549" s="214">
        <v>1</v>
      </c>
      <c r="V549" s="214">
        <v>1</v>
      </c>
      <c r="W549" s="214">
        <v>1</v>
      </c>
      <c r="X549" s="214">
        <v>1</v>
      </c>
      <c r="Y549" s="142"/>
      <c r="Z549" s="149">
        <f t="shared" si="657"/>
        <v>5912.4</v>
      </c>
      <c r="AA549" s="150">
        <f t="shared" si="658"/>
        <v>14.639566117647059</v>
      </c>
      <c r="AE549" s="582">
        <f t="shared" si="659"/>
        <v>0</v>
      </c>
      <c r="AF549" s="582">
        <f t="shared" si="660"/>
        <v>0</v>
      </c>
    </row>
    <row r="550" spans="2:32" ht="18" customHeight="1">
      <c r="B550" s="142" t="s">
        <v>454</v>
      </c>
      <c r="C550" s="221" t="s">
        <v>196</v>
      </c>
      <c r="D550" s="143">
        <v>1</v>
      </c>
      <c r="E550" s="51"/>
      <c r="F550" s="51" t="s">
        <v>281</v>
      </c>
      <c r="G550" s="63" t="s">
        <v>271</v>
      </c>
      <c r="H550" s="51" t="s">
        <v>76</v>
      </c>
      <c r="I550" s="51">
        <v>12</v>
      </c>
      <c r="J550" s="213">
        <v>5156</v>
      </c>
      <c r="K550" s="146">
        <f t="shared" si="661"/>
        <v>156</v>
      </c>
      <c r="L550" s="147">
        <f t="shared" si="662"/>
        <v>6.3229552941176479</v>
      </c>
      <c r="M550" s="147">
        <f t="shared" si="663"/>
        <v>0</v>
      </c>
      <c r="N550" s="147">
        <f t="shared" si="664"/>
        <v>0</v>
      </c>
      <c r="O550" s="147">
        <f t="shared" si="665"/>
        <v>0</v>
      </c>
      <c r="P550" s="148">
        <f t="shared" si="667"/>
        <v>0.52691294117647069</v>
      </c>
      <c r="Q550" s="147">
        <f t="shared" si="668"/>
        <v>0</v>
      </c>
      <c r="R550" s="147">
        <f t="shared" si="669"/>
        <v>0</v>
      </c>
      <c r="S550" s="147">
        <f t="shared" si="670"/>
        <v>0</v>
      </c>
      <c r="T550" s="200" t="str">
        <f t="shared" si="666"/>
        <v>V</v>
      </c>
      <c r="U550" s="214">
        <v>1</v>
      </c>
      <c r="V550" s="214">
        <v>1</v>
      </c>
      <c r="W550" s="214">
        <v>1</v>
      </c>
      <c r="X550" s="214">
        <v>1</v>
      </c>
      <c r="Y550" s="142"/>
      <c r="Z550" s="149">
        <f t="shared" si="657"/>
        <v>1872</v>
      </c>
      <c r="AA550" s="150">
        <f t="shared" si="658"/>
        <v>6.3229552941176479</v>
      </c>
      <c r="AE550" s="582">
        <f t="shared" si="659"/>
        <v>0</v>
      </c>
      <c r="AF550" s="582">
        <f t="shared" si="660"/>
        <v>12</v>
      </c>
    </row>
    <row r="551" spans="2:32" ht="18" customHeight="1">
      <c r="B551" s="142"/>
      <c r="C551" s="221"/>
      <c r="D551" s="51"/>
      <c r="E551" s="51"/>
      <c r="F551" s="51"/>
      <c r="G551" s="63"/>
      <c r="H551" s="51"/>
      <c r="I551" s="51"/>
      <c r="J551" s="213"/>
      <c r="K551" s="146">
        <f t="shared" si="661"/>
        <v>0</v>
      </c>
      <c r="L551" s="147">
        <f t="shared" si="662"/>
        <v>0</v>
      </c>
      <c r="M551" s="147">
        <f t="shared" si="663"/>
        <v>0</v>
      </c>
      <c r="N551" s="147">
        <f t="shared" si="664"/>
        <v>0</v>
      </c>
      <c r="O551" s="147">
        <f t="shared" si="665"/>
        <v>0</v>
      </c>
      <c r="P551" s="148">
        <f t="shared" si="667"/>
        <v>0</v>
      </c>
      <c r="Q551" s="147">
        <f t="shared" si="668"/>
        <v>0</v>
      </c>
      <c r="R551" s="147">
        <f t="shared" si="669"/>
        <v>0</v>
      </c>
      <c r="S551" s="147">
        <f t="shared" si="670"/>
        <v>0</v>
      </c>
      <c r="T551" s="200" t="str">
        <f t="shared" si="666"/>
        <v/>
      </c>
      <c r="U551" s="214">
        <v>1</v>
      </c>
      <c r="V551" s="214">
        <v>1</v>
      </c>
      <c r="W551" s="214">
        <v>1</v>
      </c>
      <c r="X551" s="214">
        <v>1</v>
      </c>
      <c r="Y551" s="142"/>
      <c r="Z551" s="149">
        <f t="shared" si="657"/>
        <v>0</v>
      </c>
      <c r="AA551" s="150">
        <f t="shared" si="658"/>
        <v>0</v>
      </c>
      <c r="AE551" s="582">
        <f t="shared" si="659"/>
        <v>0</v>
      </c>
      <c r="AF551" s="582">
        <f t="shared" si="660"/>
        <v>0</v>
      </c>
    </row>
    <row r="552" spans="2:32" ht="18" customHeight="1">
      <c r="B552" s="111"/>
      <c r="C552" s="111"/>
      <c r="D552" s="111"/>
      <c r="E552" s="111"/>
      <c r="F552" s="111"/>
      <c r="G552" s="111"/>
      <c r="H552" s="111"/>
      <c r="I552" s="111"/>
      <c r="J552" s="102"/>
      <c r="P552" s="179"/>
      <c r="Y552" s="119"/>
      <c r="AE552" s="583"/>
      <c r="AF552" s="583"/>
    </row>
    <row r="553" spans="2:32" ht="18" customHeight="1">
      <c r="B553" s="111"/>
      <c r="C553" s="111"/>
      <c r="D553" s="111"/>
      <c r="E553" s="111"/>
      <c r="F553" s="111"/>
      <c r="G553" s="111"/>
      <c r="H553" s="111"/>
      <c r="I553" s="111"/>
      <c r="J553" s="102"/>
      <c r="P553" s="179"/>
      <c r="Y553" s="119"/>
      <c r="Z553" s="383">
        <f>SUM(Z9:Z552)</f>
        <v>2281142.8100000015</v>
      </c>
      <c r="AA553" s="383">
        <f>SUM(AA9:AA552)</f>
        <v>6469.5331707255018</v>
      </c>
      <c r="AE553" s="583"/>
      <c r="AF553" s="583"/>
    </row>
    <row r="554" spans="2:32" ht="18" customHeight="1">
      <c r="B554" s="111"/>
      <c r="C554" s="111"/>
      <c r="D554" s="111"/>
      <c r="E554" s="111"/>
      <c r="F554" s="111"/>
      <c r="G554" s="111"/>
      <c r="H554" s="111"/>
      <c r="I554" s="111"/>
      <c r="J554" s="102"/>
      <c r="P554" s="179"/>
      <c r="Y554" s="119"/>
      <c r="Z554" s="384"/>
      <c r="AA554" s="385">
        <f>Z553/AA553</f>
        <v>352.59774543271891</v>
      </c>
      <c r="AB554" s="382" t="s">
        <v>599</v>
      </c>
      <c r="AE554" s="583"/>
      <c r="AF554" s="583"/>
    </row>
    <row r="555" spans="2:32" ht="18" customHeight="1">
      <c r="B555" s="111"/>
      <c r="C555" s="111"/>
      <c r="D555" s="111"/>
      <c r="E555" s="111"/>
      <c r="F555" s="111"/>
      <c r="G555" s="111"/>
      <c r="H555" s="111"/>
      <c r="I555" s="111"/>
      <c r="J555" s="102"/>
      <c r="P555" s="179"/>
      <c r="Y555" s="119"/>
      <c r="AE555" s="583"/>
      <c r="AF555" s="583"/>
    </row>
    <row r="556" spans="2:32" ht="18" customHeight="1">
      <c r="B556" s="111"/>
      <c r="C556" s="111"/>
      <c r="D556" s="111"/>
      <c r="E556" s="111"/>
      <c r="F556" s="111"/>
      <c r="G556" s="111"/>
      <c r="H556" s="111"/>
      <c r="I556" s="111"/>
      <c r="J556" s="102"/>
      <c r="P556" s="179"/>
      <c r="Y556" s="119"/>
      <c r="AE556" s="583"/>
      <c r="AF556" s="583"/>
    </row>
    <row r="557" spans="2:32" ht="18" customHeight="1">
      <c r="B557" s="111"/>
      <c r="C557" s="111"/>
      <c r="D557" s="111"/>
      <c r="E557" s="111"/>
      <c r="F557" s="111"/>
      <c r="G557" s="111"/>
      <c r="H557" s="111"/>
      <c r="I557" s="111"/>
      <c r="J557" s="102"/>
      <c r="P557" s="179"/>
      <c r="Y557" s="119"/>
      <c r="AE557" s="583"/>
      <c r="AF557" s="583"/>
    </row>
    <row r="558" spans="2:32" ht="18" customHeight="1">
      <c r="B558" s="111"/>
      <c r="C558" s="111"/>
      <c r="D558" s="111"/>
      <c r="E558" s="111"/>
      <c r="F558" s="111"/>
      <c r="G558" s="111"/>
      <c r="H558" s="111"/>
      <c r="I558" s="111"/>
      <c r="J558" s="102"/>
      <c r="P558" s="179"/>
      <c r="Y558" s="119"/>
      <c r="AE558" s="583"/>
      <c r="AF558" s="583"/>
    </row>
    <row r="559" spans="2:32" ht="18" customHeight="1">
      <c r="B559" s="111"/>
      <c r="C559" s="111"/>
      <c r="D559" s="111"/>
      <c r="E559" s="111"/>
      <c r="F559" s="111"/>
      <c r="G559" s="111"/>
      <c r="H559" s="111"/>
      <c r="I559" s="111"/>
      <c r="J559" s="102"/>
      <c r="P559" s="179"/>
      <c r="Y559" s="119"/>
      <c r="AE559" s="583"/>
      <c r="AF559" s="583"/>
    </row>
    <row r="560" spans="2:32" ht="18" customHeight="1">
      <c r="B560" s="111"/>
      <c r="C560" s="111"/>
      <c r="D560" s="111"/>
      <c r="E560" s="111"/>
      <c r="F560" s="111"/>
      <c r="G560" s="111"/>
      <c r="H560" s="111"/>
      <c r="I560" s="111"/>
      <c r="J560" s="102"/>
      <c r="P560" s="179"/>
      <c r="Y560" s="119"/>
      <c r="AE560" s="583"/>
      <c r="AF560" s="583"/>
    </row>
    <row r="561" spans="2:32" ht="18" customHeight="1">
      <c r="B561" s="111"/>
      <c r="C561" s="111"/>
      <c r="D561" s="111"/>
      <c r="E561" s="111"/>
      <c r="F561" s="111"/>
      <c r="G561" s="111"/>
      <c r="H561" s="111"/>
      <c r="I561" s="111"/>
      <c r="J561" s="102"/>
      <c r="P561" s="179"/>
      <c r="Y561" s="119"/>
      <c r="AE561" s="583"/>
      <c r="AF561" s="583"/>
    </row>
    <row r="562" spans="2:32" ht="18" customHeight="1">
      <c r="B562" s="111"/>
      <c r="C562" s="111"/>
      <c r="D562" s="111"/>
      <c r="E562" s="111"/>
      <c r="F562" s="111"/>
      <c r="G562" s="111"/>
      <c r="H562" s="111"/>
      <c r="I562" s="111"/>
      <c r="J562" s="102"/>
      <c r="P562" s="179"/>
      <c r="Y562" s="119"/>
      <c r="AE562" s="583"/>
      <c r="AF562" s="583"/>
    </row>
    <row r="563" spans="2:32" ht="18" customHeight="1">
      <c r="B563" s="111"/>
      <c r="C563" s="111"/>
      <c r="D563" s="111"/>
      <c r="E563" s="111"/>
      <c r="F563" s="111"/>
      <c r="G563" s="111"/>
      <c r="H563" s="111"/>
      <c r="I563" s="111"/>
      <c r="J563" s="102"/>
      <c r="P563" s="179"/>
      <c r="Y563" s="119"/>
      <c r="AE563" s="583"/>
      <c r="AF563" s="583"/>
    </row>
    <row r="564" spans="2:32" ht="18" customHeight="1">
      <c r="B564" s="111"/>
      <c r="C564" s="111"/>
      <c r="D564" s="111"/>
      <c r="E564" s="111"/>
      <c r="F564" s="111"/>
      <c r="G564" s="111"/>
      <c r="H564" s="111"/>
      <c r="I564" s="111"/>
      <c r="J564" s="102"/>
      <c r="P564" s="179"/>
      <c r="Y564" s="119"/>
      <c r="AE564" s="583"/>
      <c r="AF564" s="583"/>
    </row>
    <row r="565" spans="2:32" ht="18" customHeight="1">
      <c r="B565" s="111"/>
      <c r="C565" s="111"/>
      <c r="D565" s="111"/>
      <c r="E565" s="111"/>
      <c r="F565" s="111"/>
      <c r="G565" s="111"/>
      <c r="H565" s="111"/>
      <c r="I565" s="111"/>
      <c r="J565" s="102"/>
      <c r="P565" s="179"/>
      <c r="Y565" s="119"/>
      <c r="AE565" s="583"/>
      <c r="AF565" s="583"/>
    </row>
    <row r="566" spans="2:32" ht="18" customHeight="1">
      <c r="B566" s="111"/>
      <c r="C566" s="111"/>
      <c r="D566" s="111"/>
      <c r="E566" s="111"/>
      <c r="F566" s="111"/>
      <c r="G566" s="111"/>
      <c r="H566" s="111"/>
      <c r="I566" s="111"/>
      <c r="J566" s="102"/>
      <c r="P566" s="179"/>
      <c r="Y566" s="119"/>
      <c r="AE566" s="583"/>
      <c r="AF566" s="583"/>
    </row>
    <row r="567" spans="2:32" ht="18" customHeight="1">
      <c r="B567" s="111"/>
      <c r="C567" s="111"/>
      <c r="D567" s="111"/>
      <c r="E567" s="111"/>
      <c r="F567" s="111"/>
      <c r="G567" s="111"/>
      <c r="H567" s="111"/>
      <c r="I567" s="111"/>
      <c r="J567" s="102"/>
      <c r="P567" s="179"/>
      <c r="Y567" s="119"/>
      <c r="AE567" s="583"/>
      <c r="AF567" s="583"/>
    </row>
    <row r="568" spans="2:32" ht="18" customHeight="1">
      <c r="B568" s="111"/>
      <c r="C568" s="111"/>
      <c r="D568" s="111"/>
      <c r="E568" s="111"/>
      <c r="F568" s="111"/>
      <c r="G568" s="111"/>
      <c r="H568" s="111"/>
      <c r="I568" s="111"/>
      <c r="J568" s="102"/>
      <c r="P568" s="179"/>
      <c r="Y568" s="119"/>
      <c r="AE568" s="583"/>
      <c r="AF568" s="583"/>
    </row>
    <row r="569" spans="2:32" ht="18" customHeight="1">
      <c r="B569" s="111"/>
      <c r="C569" s="111"/>
      <c r="D569" s="111"/>
      <c r="E569" s="111"/>
      <c r="F569" s="111"/>
      <c r="G569" s="111"/>
      <c r="H569" s="111"/>
      <c r="I569" s="111"/>
      <c r="J569" s="102"/>
      <c r="P569" s="179"/>
      <c r="Y569" s="119"/>
      <c r="AE569" s="583"/>
      <c r="AF569" s="583"/>
    </row>
    <row r="570" spans="2:32" ht="18" customHeight="1">
      <c r="B570" s="111"/>
      <c r="C570" s="111"/>
      <c r="D570" s="111"/>
      <c r="E570" s="111"/>
      <c r="F570" s="111"/>
      <c r="G570" s="111"/>
      <c r="H570" s="111"/>
      <c r="I570" s="111"/>
      <c r="J570" s="102"/>
      <c r="P570" s="179"/>
      <c r="Y570" s="119"/>
      <c r="AE570" s="583"/>
      <c r="AF570" s="583"/>
    </row>
    <row r="571" spans="2:32" ht="18" customHeight="1">
      <c r="B571" s="111"/>
      <c r="C571" s="111"/>
      <c r="D571" s="111"/>
      <c r="E571" s="111"/>
      <c r="F571" s="111"/>
      <c r="G571" s="111"/>
      <c r="H571" s="111"/>
      <c r="I571" s="111"/>
      <c r="J571" s="102"/>
      <c r="P571" s="179"/>
      <c r="Y571" s="119"/>
      <c r="AE571" s="583"/>
      <c r="AF571" s="583"/>
    </row>
    <row r="572" spans="2:32" ht="18" customHeight="1">
      <c r="B572" s="111"/>
      <c r="C572" s="111"/>
      <c r="D572" s="111"/>
      <c r="E572" s="111"/>
      <c r="F572" s="111"/>
      <c r="G572" s="111"/>
      <c r="H572" s="111"/>
      <c r="I572" s="111"/>
      <c r="J572" s="102"/>
      <c r="P572" s="179"/>
      <c r="Y572" s="119"/>
      <c r="AE572" s="583"/>
      <c r="AF572" s="583"/>
    </row>
    <row r="573" spans="2:32" ht="18" customHeight="1">
      <c r="B573" s="111"/>
      <c r="C573" s="111"/>
      <c r="D573" s="111"/>
      <c r="E573" s="111"/>
      <c r="F573" s="111"/>
      <c r="G573" s="111"/>
      <c r="H573" s="111"/>
      <c r="I573" s="111"/>
      <c r="J573" s="102"/>
      <c r="P573" s="179"/>
      <c r="Y573" s="119"/>
      <c r="AE573" s="583"/>
      <c r="AF573" s="583"/>
    </row>
    <row r="574" spans="2:32" ht="18" customHeight="1">
      <c r="B574" s="111"/>
      <c r="C574" s="111"/>
      <c r="D574" s="111"/>
      <c r="E574" s="111"/>
      <c r="F574" s="111"/>
      <c r="G574" s="111"/>
      <c r="H574" s="111"/>
      <c r="I574" s="111"/>
      <c r="J574" s="102"/>
      <c r="P574" s="179"/>
      <c r="Y574" s="119"/>
      <c r="AE574" s="583"/>
      <c r="AF574" s="583"/>
    </row>
    <row r="575" spans="2:32" ht="18" customHeight="1">
      <c r="B575" s="111"/>
      <c r="C575" s="111"/>
      <c r="D575" s="111"/>
      <c r="E575" s="111"/>
      <c r="F575" s="111"/>
      <c r="G575" s="111"/>
      <c r="H575" s="111"/>
      <c r="I575" s="111"/>
      <c r="J575" s="102"/>
      <c r="P575" s="179"/>
      <c r="Y575" s="119"/>
      <c r="AE575" s="583"/>
      <c r="AF575" s="583"/>
    </row>
    <row r="576" spans="2:32" ht="18" customHeight="1">
      <c r="B576" s="111"/>
      <c r="C576" s="111"/>
      <c r="D576" s="111"/>
      <c r="E576" s="111"/>
      <c r="F576" s="111"/>
      <c r="G576" s="111"/>
      <c r="H576" s="111"/>
      <c r="I576" s="111"/>
      <c r="J576" s="102"/>
      <c r="P576" s="179"/>
      <c r="Y576" s="119"/>
      <c r="AE576" s="583"/>
      <c r="AF576" s="583"/>
    </row>
    <row r="577" spans="2:32" ht="18" customHeight="1">
      <c r="B577" s="111"/>
      <c r="C577" s="111"/>
      <c r="D577" s="111"/>
      <c r="E577" s="111"/>
      <c r="F577" s="111"/>
      <c r="G577" s="111"/>
      <c r="H577" s="111"/>
      <c r="I577" s="111"/>
      <c r="J577" s="102"/>
      <c r="P577" s="179"/>
      <c r="Y577" s="119"/>
      <c r="AE577" s="583"/>
      <c r="AF577" s="583"/>
    </row>
    <row r="578" spans="2:32" ht="18" customHeight="1">
      <c r="B578" s="111"/>
      <c r="C578" s="111"/>
      <c r="D578" s="111"/>
      <c r="E578" s="111"/>
      <c r="F578" s="111"/>
      <c r="G578" s="111"/>
      <c r="H578" s="111"/>
      <c r="I578" s="111"/>
      <c r="J578" s="102"/>
      <c r="P578" s="179"/>
      <c r="Y578" s="119"/>
      <c r="AE578" s="583"/>
      <c r="AF578" s="583"/>
    </row>
    <row r="579" spans="2:32" ht="18" customHeight="1">
      <c r="B579" s="111"/>
      <c r="C579" s="111"/>
      <c r="D579" s="111"/>
      <c r="E579" s="111"/>
      <c r="F579" s="111"/>
      <c r="G579" s="111"/>
      <c r="H579" s="111"/>
      <c r="I579" s="111"/>
      <c r="J579" s="102"/>
      <c r="P579" s="179"/>
      <c r="Y579" s="119"/>
      <c r="AE579" s="583"/>
      <c r="AF579" s="583"/>
    </row>
    <row r="580" spans="2:32" ht="18" customHeight="1">
      <c r="B580" s="111"/>
      <c r="C580" s="111"/>
      <c r="D580" s="111"/>
      <c r="E580" s="111"/>
      <c r="F580" s="111"/>
      <c r="G580" s="111"/>
      <c r="H580" s="111"/>
      <c r="I580" s="111"/>
      <c r="J580" s="102"/>
      <c r="P580" s="179"/>
      <c r="Y580" s="119"/>
      <c r="AE580" s="583"/>
      <c r="AF580" s="583"/>
    </row>
    <row r="581" spans="2:32" ht="18" customHeight="1">
      <c r="B581" s="111"/>
      <c r="C581" s="111"/>
      <c r="D581" s="111"/>
      <c r="E581" s="111"/>
      <c r="F581" s="111"/>
      <c r="G581" s="111"/>
      <c r="H581" s="111"/>
      <c r="I581" s="111"/>
      <c r="J581" s="102"/>
      <c r="P581" s="179"/>
      <c r="Y581" s="119"/>
      <c r="AE581" s="583"/>
      <c r="AF581" s="583"/>
    </row>
    <row r="582" spans="2:32" ht="18" customHeight="1">
      <c r="B582" s="111"/>
      <c r="C582" s="111"/>
      <c r="D582" s="111"/>
      <c r="E582" s="111"/>
      <c r="F582" s="111"/>
      <c r="G582" s="111"/>
      <c r="H582" s="111"/>
      <c r="I582" s="111"/>
      <c r="J582" s="102"/>
      <c r="P582" s="179"/>
      <c r="Y582" s="119"/>
      <c r="AE582" s="583"/>
      <c r="AF582" s="583"/>
    </row>
    <row r="583" spans="2:32" ht="18" customHeight="1">
      <c r="B583" s="111"/>
      <c r="C583" s="111"/>
      <c r="D583" s="111"/>
      <c r="E583" s="111"/>
      <c r="F583" s="111"/>
      <c r="G583" s="111"/>
      <c r="H583" s="111"/>
      <c r="I583" s="111"/>
      <c r="J583" s="102"/>
      <c r="P583" s="179"/>
      <c r="Y583" s="119"/>
      <c r="AE583" s="583"/>
      <c r="AF583" s="583"/>
    </row>
    <row r="584" spans="2:32" ht="18" customHeight="1">
      <c r="B584" s="111"/>
      <c r="C584" s="111"/>
      <c r="D584" s="111"/>
      <c r="E584" s="111"/>
      <c r="F584" s="111"/>
      <c r="G584" s="111"/>
      <c r="H584" s="111"/>
      <c r="I584" s="111"/>
      <c r="J584" s="102"/>
      <c r="P584" s="179"/>
      <c r="Y584" s="119"/>
      <c r="AE584" s="583"/>
      <c r="AF584" s="583"/>
    </row>
    <row r="585" spans="2:32" ht="18" customHeight="1">
      <c r="B585" s="111"/>
      <c r="C585" s="111"/>
      <c r="D585" s="111"/>
      <c r="E585" s="111"/>
      <c r="F585" s="111"/>
      <c r="G585" s="111"/>
      <c r="H585" s="111"/>
      <c r="I585" s="111"/>
      <c r="J585" s="102"/>
      <c r="P585" s="179"/>
      <c r="Y585" s="119"/>
      <c r="AE585" s="583"/>
      <c r="AF585" s="583"/>
    </row>
    <row r="586" spans="2:32" ht="18" customHeight="1">
      <c r="B586" s="111"/>
      <c r="C586" s="111"/>
      <c r="D586" s="111"/>
      <c r="E586" s="111"/>
      <c r="F586" s="111"/>
      <c r="G586" s="111"/>
      <c r="H586" s="111"/>
      <c r="I586" s="111"/>
      <c r="J586" s="102"/>
      <c r="P586" s="179"/>
      <c r="Y586" s="119"/>
      <c r="AE586" s="583"/>
      <c r="AF586" s="583"/>
    </row>
    <row r="587" spans="2:32" ht="18" customHeight="1">
      <c r="B587" s="111"/>
      <c r="C587" s="111"/>
      <c r="D587" s="111"/>
      <c r="E587" s="111"/>
      <c r="F587" s="111"/>
      <c r="G587" s="111"/>
      <c r="H587" s="111"/>
      <c r="I587" s="111"/>
      <c r="J587" s="102"/>
      <c r="P587" s="179"/>
      <c r="Y587" s="119"/>
      <c r="AE587" s="583"/>
      <c r="AF587" s="583"/>
    </row>
    <row r="588" spans="2:32" ht="18" customHeight="1">
      <c r="B588" s="111"/>
      <c r="C588" s="111"/>
      <c r="D588" s="111"/>
      <c r="E588" s="111"/>
      <c r="F588" s="111"/>
      <c r="G588" s="111"/>
      <c r="H588" s="111"/>
      <c r="I588" s="111"/>
      <c r="J588" s="102"/>
      <c r="P588" s="179"/>
      <c r="Y588" s="119"/>
      <c r="AE588" s="583"/>
      <c r="AF588" s="583"/>
    </row>
    <row r="589" spans="2:32" ht="18" customHeight="1">
      <c r="B589" s="111"/>
      <c r="C589" s="111"/>
      <c r="D589" s="111"/>
      <c r="E589" s="111"/>
      <c r="F589" s="111"/>
      <c r="G589" s="111"/>
      <c r="H589" s="111"/>
      <c r="I589" s="111"/>
      <c r="J589" s="102"/>
      <c r="P589" s="179"/>
      <c r="Y589" s="119"/>
      <c r="AE589" s="583"/>
      <c r="AF589" s="583"/>
    </row>
    <row r="590" spans="2:32" ht="18" customHeight="1">
      <c r="B590" s="111"/>
      <c r="C590" s="111"/>
      <c r="D590" s="111"/>
      <c r="E590" s="111"/>
      <c r="F590" s="111"/>
      <c r="G590" s="111"/>
      <c r="H590" s="111"/>
      <c r="I590" s="111"/>
      <c r="J590" s="102"/>
      <c r="P590" s="179"/>
      <c r="Y590" s="119"/>
      <c r="AE590" s="583"/>
      <c r="AF590" s="583"/>
    </row>
    <row r="591" spans="2:32" ht="18" customHeight="1">
      <c r="B591" s="111"/>
      <c r="C591" s="111"/>
      <c r="D591" s="111"/>
      <c r="E591" s="111"/>
      <c r="F591" s="111"/>
      <c r="G591" s="111"/>
      <c r="H591" s="111"/>
      <c r="I591" s="111"/>
      <c r="J591" s="102"/>
      <c r="P591" s="179"/>
      <c r="Y591" s="119"/>
      <c r="AE591" s="583"/>
      <c r="AF591" s="583"/>
    </row>
    <row r="592" spans="2:32" ht="18" customHeight="1">
      <c r="B592" s="111"/>
      <c r="C592" s="111"/>
      <c r="D592" s="111"/>
      <c r="E592" s="111"/>
      <c r="F592" s="111"/>
      <c r="G592" s="111"/>
      <c r="H592" s="111"/>
      <c r="I592" s="111"/>
      <c r="J592" s="102"/>
      <c r="P592" s="179"/>
      <c r="Y592" s="119"/>
      <c r="AE592" s="583"/>
      <c r="AF592" s="583"/>
    </row>
    <row r="593" spans="2:32" ht="18" customHeight="1">
      <c r="B593" s="111"/>
      <c r="C593" s="111"/>
      <c r="D593" s="111"/>
      <c r="E593" s="111"/>
      <c r="F593" s="111"/>
      <c r="G593" s="111"/>
      <c r="H593" s="111"/>
      <c r="I593" s="111"/>
      <c r="J593" s="102"/>
      <c r="P593" s="179"/>
      <c r="Y593" s="119"/>
      <c r="AE593" s="583"/>
      <c r="AF593" s="583"/>
    </row>
    <row r="594" spans="2:32" ht="18" customHeight="1">
      <c r="B594" s="111"/>
      <c r="C594" s="111"/>
      <c r="D594" s="111"/>
      <c r="E594" s="111"/>
      <c r="F594" s="111"/>
      <c r="G594" s="111"/>
      <c r="H594" s="111"/>
      <c r="I594" s="111"/>
      <c r="J594" s="102"/>
      <c r="P594" s="179"/>
      <c r="Y594" s="119"/>
      <c r="AE594" s="583"/>
      <c r="AF594" s="583"/>
    </row>
    <row r="595" spans="2:32" ht="18" customHeight="1">
      <c r="B595" s="111"/>
      <c r="C595" s="111"/>
      <c r="D595" s="111"/>
      <c r="E595" s="111"/>
      <c r="F595" s="111"/>
      <c r="G595" s="111"/>
      <c r="H595" s="111"/>
      <c r="I595" s="111"/>
      <c r="J595" s="102"/>
      <c r="P595" s="179"/>
      <c r="Y595" s="119"/>
      <c r="AE595" s="583"/>
      <c r="AF595" s="583"/>
    </row>
    <row r="596" spans="2:32" ht="18" customHeight="1">
      <c r="B596" s="111"/>
      <c r="C596" s="111"/>
      <c r="D596" s="111"/>
      <c r="E596" s="111"/>
      <c r="F596" s="111"/>
      <c r="G596" s="111"/>
      <c r="H596" s="111"/>
      <c r="I596" s="111"/>
      <c r="J596" s="102"/>
      <c r="P596" s="179"/>
      <c r="Y596" s="119"/>
      <c r="AE596" s="583"/>
      <c r="AF596" s="583"/>
    </row>
    <row r="597" spans="2:32" ht="18" customHeight="1">
      <c r="B597" s="111"/>
      <c r="C597" s="111"/>
      <c r="D597" s="111"/>
      <c r="E597" s="111"/>
      <c r="F597" s="111"/>
      <c r="G597" s="111"/>
      <c r="H597" s="111"/>
      <c r="I597" s="111"/>
      <c r="J597" s="102"/>
      <c r="P597" s="179"/>
      <c r="Y597" s="119"/>
      <c r="AE597" s="583"/>
      <c r="AF597" s="583"/>
    </row>
    <row r="598" spans="2:32" ht="18" customHeight="1">
      <c r="B598" s="111"/>
      <c r="C598" s="111"/>
      <c r="D598" s="111"/>
      <c r="E598" s="111"/>
      <c r="F598" s="111"/>
      <c r="G598" s="111"/>
      <c r="H598" s="111"/>
      <c r="I598" s="111"/>
      <c r="J598" s="102"/>
      <c r="P598" s="179"/>
      <c r="Y598" s="119"/>
      <c r="AE598" s="583"/>
      <c r="AF598" s="583"/>
    </row>
    <row r="599" spans="2:32" ht="18" customHeight="1">
      <c r="B599" s="111"/>
      <c r="C599" s="111"/>
      <c r="D599" s="111"/>
      <c r="E599" s="111"/>
      <c r="F599" s="111"/>
      <c r="G599" s="111"/>
      <c r="H599" s="111"/>
      <c r="I599" s="111"/>
      <c r="J599" s="102"/>
      <c r="P599" s="179"/>
      <c r="Y599" s="119"/>
      <c r="AE599" s="583"/>
      <c r="AF599" s="583"/>
    </row>
    <row r="600" spans="2:32" ht="18" customHeight="1">
      <c r="B600" s="111"/>
      <c r="C600" s="111"/>
      <c r="D600" s="111"/>
      <c r="E600" s="111"/>
      <c r="F600" s="111"/>
      <c r="G600" s="111"/>
      <c r="H600" s="111"/>
      <c r="I600" s="111"/>
      <c r="J600" s="102"/>
      <c r="P600" s="179"/>
      <c r="Y600" s="119"/>
      <c r="AE600" s="583"/>
      <c r="AF600" s="583"/>
    </row>
    <row r="601" spans="2:32" ht="18" customHeight="1">
      <c r="B601" s="111"/>
      <c r="C601" s="111"/>
      <c r="D601" s="111"/>
      <c r="E601" s="111"/>
      <c r="F601" s="111"/>
      <c r="G601" s="111"/>
      <c r="H601" s="111"/>
      <c r="I601" s="111"/>
      <c r="J601" s="102"/>
      <c r="P601" s="179"/>
      <c r="Y601" s="119"/>
      <c r="AE601" s="583"/>
      <c r="AF601" s="583"/>
    </row>
    <row r="602" spans="2:32" ht="18" customHeight="1">
      <c r="B602" s="111"/>
      <c r="C602" s="111"/>
      <c r="D602" s="111"/>
      <c r="E602" s="111"/>
      <c r="F602" s="111"/>
      <c r="G602" s="111"/>
      <c r="H602" s="111"/>
      <c r="I602" s="111"/>
      <c r="J602" s="102"/>
      <c r="P602" s="179"/>
      <c r="Y602" s="119"/>
      <c r="AE602" s="583"/>
      <c r="AF602" s="583"/>
    </row>
    <row r="603" spans="2:32" ht="18" customHeight="1">
      <c r="B603" s="111"/>
      <c r="C603" s="111"/>
      <c r="D603" s="111"/>
      <c r="E603" s="111"/>
      <c r="F603" s="111"/>
      <c r="G603" s="111"/>
      <c r="H603" s="111"/>
      <c r="I603" s="111"/>
      <c r="J603" s="102"/>
      <c r="P603" s="179"/>
      <c r="Y603" s="119"/>
      <c r="AE603" s="583"/>
      <c r="AF603" s="583"/>
    </row>
    <row r="604" spans="2:32" ht="18" customHeight="1">
      <c r="B604" s="111"/>
      <c r="C604" s="111"/>
      <c r="D604" s="111"/>
      <c r="E604" s="111"/>
      <c r="F604" s="111"/>
      <c r="G604" s="111"/>
      <c r="H604" s="111"/>
      <c r="I604" s="111"/>
      <c r="J604" s="102"/>
      <c r="P604" s="179"/>
      <c r="Y604" s="119"/>
      <c r="AE604" s="583"/>
      <c r="AF604" s="583"/>
    </row>
    <row r="605" spans="2:32" ht="18" customHeight="1">
      <c r="B605" s="111"/>
      <c r="C605" s="111"/>
      <c r="D605" s="111"/>
      <c r="E605" s="111"/>
      <c r="F605" s="111"/>
      <c r="G605" s="111"/>
      <c r="H605" s="111"/>
      <c r="I605" s="111"/>
      <c r="J605" s="102"/>
      <c r="P605" s="179"/>
      <c r="Y605" s="119"/>
      <c r="AE605" s="583"/>
      <c r="AF605" s="583"/>
    </row>
    <row r="606" spans="2:32" ht="18" customHeight="1">
      <c r="B606" s="111"/>
      <c r="C606" s="111"/>
      <c r="D606" s="111"/>
      <c r="E606" s="111"/>
      <c r="F606" s="111"/>
      <c r="G606" s="111"/>
      <c r="H606" s="111"/>
      <c r="I606" s="111"/>
      <c r="J606" s="102"/>
      <c r="P606" s="179"/>
      <c r="Y606" s="119"/>
      <c r="AE606" s="583"/>
      <c r="AF606" s="583"/>
    </row>
    <row r="607" spans="2:32" ht="18" customHeight="1">
      <c r="B607" s="111"/>
      <c r="C607" s="111"/>
      <c r="D607" s="111"/>
      <c r="E607" s="111"/>
      <c r="F607" s="111"/>
      <c r="G607" s="111"/>
      <c r="H607" s="111"/>
      <c r="I607" s="111"/>
      <c r="J607" s="102"/>
      <c r="P607" s="179"/>
      <c r="Y607" s="119"/>
      <c r="AE607" s="583"/>
      <c r="AF607" s="583"/>
    </row>
    <row r="608" spans="2:32" ht="18" customHeight="1">
      <c r="B608" s="111"/>
      <c r="C608" s="111"/>
      <c r="D608" s="111"/>
      <c r="E608" s="111"/>
      <c r="F608" s="111"/>
      <c r="G608" s="111"/>
      <c r="H608" s="111"/>
      <c r="I608" s="111"/>
      <c r="J608" s="102"/>
      <c r="P608" s="179"/>
      <c r="Y608" s="119"/>
      <c r="AE608" s="583"/>
      <c r="AF608" s="583"/>
    </row>
    <row r="609" spans="31:32" ht="18" customHeight="1">
      <c r="AE609" s="583"/>
      <c r="AF609" s="583"/>
    </row>
    <row r="610" spans="31:32" ht="18" customHeight="1">
      <c r="AE610" s="583"/>
      <c r="AF610" s="583"/>
    </row>
    <row r="611" spans="31:32" ht="18" customHeight="1">
      <c r="AE611" s="583"/>
      <c r="AF611" s="583"/>
    </row>
    <row r="612" spans="31:32" ht="18" customHeight="1">
      <c r="AE612" s="583"/>
      <c r="AF612" s="583"/>
    </row>
    <row r="613" spans="31:32" ht="18" customHeight="1">
      <c r="AE613" s="583"/>
      <c r="AF613" s="583"/>
    </row>
    <row r="614" spans="31:32" ht="18" customHeight="1">
      <c r="AE614" s="583"/>
      <c r="AF614" s="583"/>
    </row>
    <row r="615" spans="31:32" ht="18" customHeight="1">
      <c r="AE615" s="583"/>
      <c r="AF615" s="583"/>
    </row>
    <row r="616" spans="31:32" ht="18" customHeight="1">
      <c r="AE616" s="583"/>
      <c r="AF616" s="583"/>
    </row>
    <row r="617" spans="31:32" ht="18" customHeight="1">
      <c r="AE617" s="583"/>
      <c r="AF617" s="583"/>
    </row>
    <row r="618" spans="31:32" ht="18" customHeight="1">
      <c r="AE618" s="583"/>
      <c r="AF618" s="583"/>
    </row>
    <row r="619" spans="31:32" ht="18" customHeight="1">
      <c r="AE619" s="583"/>
      <c r="AF619" s="583"/>
    </row>
    <row r="620" spans="31:32" ht="18" customHeight="1">
      <c r="AE620" s="583"/>
      <c r="AF620" s="583"/>
    </row>
    <row r="621" spans="31:32" ht="18" customHeight="1">
      <c r="AE621" s="583"/>
      <c r="AF621" s="583"/>
    </row>
    <row r="622" spans="31:32" ht="18" customHeight="1">
      <c r="AE622" s="583"/>
      <c r="AF622" s="583"/>
    </row>
    <row r="623" spans="31:32" ht="18" customHeight="1">
      <c r="AE623" s="583"/>
      <c r="AF623" s="583"/>
    </row>
    <row r="624" spans="31:32" ht="18" customHeight="1">
      <c r="AE624" s="583"/>
      <c r="AF624" s="583"/>
    </row>
    <row r="625" spans="31:32" ht="18" customHeight="1">
      <c r="AE625" s="583"/>
      <c r="AF625" s="583"/>
    </row>
    <row r="626" spans="31:32" ht="18" customHeight="1">
      <c r="AE626" s="583"/>
      <c r="AF626" s="583"/>
    </row>
    <row r="627" spans="31:32" ht="18" customHeight="1">
      <c r="AE627" s="583"/>
      <c r="AF627" s="583"/>
    </row>
    <row r="628" spans="31:32" ht="18" customHeight="1">
      <c r="AE628" s="583"/>
      <c r="AF628" s="583"/>
    </row>
    <row r="629" spans="31:32" ht="18" customHeight="1">
      <c r="AE629" s="583"/>
      <c r="AF629" s="583"/>
    </row>
    <row r="630" spans="31:32" ht="18" customHeight="1">
      <c r="AE630" s="583"/>
      <c r="AF630" s="583"/>
    </row>
    <row r="631" spans="31:32" ht="18" customHeight="1">
      <c r="AE631" s="583"/>
      <c r="AF631" s="583"/>
    </row>
    <row r="632" spans="31:32" ht="18" customHeight="1">
      <c r="AE632" s="583"/>
      <c r="AF632" s="583"/>
    </row>
    <row r="633" spans="31:32" ht="18" customHeight="1">
      <c r="AE633" s="583"/>
      <c r="AF633" s="583"/>
    </row>
    <row r="634" spans="31:32" ht="18" customHeight="1">
      <c r="AE634" s="583"/>
      <c r="AF634" s="583"/>
    </row>
    <row r="635" spans="31:32" ht="18" customHeight="1">
      <c r="AE635" s="583"/>
      <c r="AF635" s="583"/>
    </row>
    <row r="636" spans="31:32" ht="18" customHeight="1">
      <c r="AE636" s="583"/>
      <c r="AF636" s="583"/>
    </row>
    <row r="637" spans="31:32" ht="18" customHeight="1">
      <c r="AE637" s="583"/>
      <c r="AF637" s="583"/>
    </row>
    <row r="638" spans="31:32" ht="18" customHeight="1">
      <c r="AE638" s="583"/>
      <c r="AF638" s="583"/>
    </row>
    <row r="639" spans="31:32" ht="18" customHeight="1">
      <c r="AE639" s="583"/>
      <c r="AF639" s="583"/>
    </row>
    <row r="640" spans="31:32" ht="18" customHeight="1">
      <c r="AE640" s="583"/>
      <c r="AF640" s="583"/>
    </row>
    <row r="641" spans="31:32" ht="18" customHeight="1">
      <c r="AE641" s="583"/>
      <c r="AF641" s="583"/>
    </row>
    <row r="642" spans="31:32" ht="18" customHeight="1">
      <c r="AE642" s="583"/>
      <c r="AF642" s="583"/>
    </row>
    <row r="643" spans="31:32" ht="18" customHeight="1">
      <c r="AE643" s="583"/>
      <c r="AF643" s="583"/>
    </row>
    <row r="644" spans="31:32" ht="18" customHeight="1">
      <c r="AE644" s="583"/>
      <c r="AF644" s="583"/>
    </row>
    <row r="645" spans="31:32" ht="18" customHeight="1">
      <c r="AE645" s="583"/>
      <c r="AF645" s="583"/>
    </row>
    <row r="646" spans="31:32" ht="18" customHeight="1">
      <c r="AE646" s="583"/>
      <c r="AF646" s="583"/>
    </row>
    <row r="647" spans="31:32" ht="18" customHeight="1">
      <c r="AE647" s="583"/>
      <c r="AF647" s="583"/>
    </row>
    <row r="648" spans="31:32" ht="18" customHeight="1">
      <c r="AE648" s="583"/>
      <c r="AF648" s="583"/>
    </row>
    <row r="649" spans="31:32" ht="18" customHeight="1">
      <c r="AE649" s="583"/>
      <c r="AF649" s="583"/>
    </row>
    <row r="650" spans="31:32" ht="18" customHeight="1">
      <c r="AE650" s="583"/>
      <c r="AF650" s="583"/>
    </row>
    <row r="651" spans="31:32" ht="18" customHeight="1">
      <c r="AE651" s="583"/>
      <c r="AF651" s="583"/>
    </row>
    <row r="652" spans="31:32" ht="18" customHeight="1">
      <c r="AE652" s="583"/>
      <c r="AF652" s="583"/>
    </row>
    <row r="653" spans="31:32" ht="18" customHeight="1">
      <c r="AE653" s="583"/>
      <c r="AF653" s="583"/>
    </row>
    <row r="654" spans="31:32" ht="18" customHeight="1">
      <c r="AE654" s="583"/>
      <c r="AF654" s="583"/>
    </row>
    <row r="655" spans="31:32" ht="18" customHeight="1">
      <c r="AE655" s="583"/>
      <c r="AF655" s="583"/>
    </row>
    <row r="656" spans="31:32" ht="18" customHeight="1">
      <c r="AE656" s="583"/>
      <c r="AF656" s="583"/>
    </row>
    <row r="657" spans="31:32" ht="18" customHeight="1">
      <c r="AE657" s="583"/>
      <c r="AF657" s="583"/>
    </row>
    <row r="658" spans="31:32" ht="18" customHeight="1">
      <c r="AE658" s="583"/>
      <c r="AF658" s="583"/>
    </row>
    <row r="659" spans="31:32" ht="18" customHeight="1">
      <c r="AE659" s="583"/>
      <c r="AF659" s="583"/>
    </row>
    <row r="660" spans="31:32" ht="18" customHeight="1">
      <c r="AE660" s="583"/>
      <c r="AF660" s="583"/>
    </row>
    <row r="661" spans="31:32" ht="18" customHeight="1">
      <c r="AE661" s="583"/>
      <c r="AF661" s="583"/>
    </row>
    <row r="662" spans="31:32" ht="18" customHeight="1">
      <c r="AE662" s="583"/>
      <c r="AF662" s="583"/>
    </row>
    <row r="663" spans="31:32" ht="18" customHeight="1">
      <c r="AE663" s="583"/>
      <c r="AF663" s="583"/>
    </row>
    <row r="664" spans="31:32" ht="18" customHeight="1">
      <c r="AE664" s="583"/>
      <c r="AF664" s="583"/>
    </row>
    <row r="665" spans="31:32" ht="18" customHeight="1">
      <c r="AE665" s="583"/>
      <c r="AF665" s="583"/>
    </row>
    <row r="666" spans="31:32" ht="18" customHeight="1">
      <c r="AE666" s="583"/>
      <c r="AF666" s="583"/>
    </row>
    <row r="667" spans="31:32" ht="18" customHeight="1">
      <c r="AE667" s="583"/>
      <c r="AF667" s="583"/>
    </row>
    <row r="668" spans="31:32" ht="18" customHeight="1">
      <c r="AE668" s="583"/>
      <c r="AF668" s="583"/>
    </row>
    <row r="669" spans="31:32" ht="18" customHeight="1">
      <c r="AE669" s="583"/>
      <c r="AF669" s="583"/>
    </row>
    <row r="670" spans="31:32" ht="18" customHeight="1">
      <c r="AE670" s="583"/>
      <c r="AF670" s="583"/>
    </row>
    <row r="671" spans="31:32" ht="18" customHeight="1">
      <c r="AE671" s="583"/>
      <c r="AF671" s="583"/>
    </row>
    <row r="672" spans="31:32" ht="18" customHeight="1">
      <c r="AE672" s="583"/>
      <c r="AF672" s="583"/>
    </row>
    <row r="673" spans="31:32" ht="18" customHeight="1">
      <c r="AE673" s="583"/>
      <c r="AF673" s="583"/>
    </row>
    <row r="674" spans="31:32" ht="18" customHeight="1">
      <c r="AE674" s="583"/>
      <c r="AF674" s="583"/>
    </row>
    <row r="675" spans="31:32" ht="18" customHeight="1">
      <c r="AE675" s="583"/>
      <c r="AF675" s="583"/>
    </row>
    <row r="676" spans="31:32" ht="18" customHeight="1">
      <c r="AE676" s="583"/>
      <c r="AF676" s="583"/>
    </row>
    <row r="677" spans="31:32" ht="18" customHeight="1">
      <c r="AE677" s="583"/>
      <c r="AF677" s="583"/>
    </row>
    <row r="678" spans="31:32" ht="18" customHeight="1">
      <c r="AE678" s="583"/>
      <c r="AF678" s="583"/>
    </row>
    <row r="679" spans="31:32" ht="18" customHeight="1">
      <c r="AE679" s="583"/>
      <c r="AF679" s="583"/>
    </row>
    <row r="680" spans="31:32" ht="18" customHeight="1">
      <c r="AE680" s="583"/>
      <c r="AF680" s="583"/>
    </row>
    <row r="681" spans="31:32" ht="18" customHeight="1">
      <c r="AE681" s="583"/>
      <c r="AF681" s="583"/>
    </row>
    <row r="682" spans="31:32" ht="18" customHeight="1">
      <c r="AE682" s="583"/>
      <c r="AF682" s="583"/>
    </row>
    <row r="683" spans="31:32" ht="18" customHeight="1">
      <c r="AE683" s="583"/>
      <c r="AF683" s="583"/>
    </row>
    <row r="684" spans="31:32" ht="18" customHeight="1">
      <c r="AE684" s="583"/>
      <c r="AF684" s="583"/>
    </row>
    <row r="685" spans="31:32" ht="18" customHeight="1">
      <c r="AE685" s="583"/>
      <c r="AF685" s="583"/>
    </row>
    <row r="686" spans="31:32" ht="18" customHeight="1">
      <c r="AE686" s="583"/>
      <c r="AF686" s="583"/>
    </row>
    <row r="687" spans="31:32" ht="18" customHeight="1">
      <c r="AE687" s="583"/>
      <c r="AF687" s="583"/>
    </row>
    <row r="688" spans="31:32" ht="18" customHeight="1">
      <c r="AE688" s="583"/>
      <c r="AF688" s="583"/>
    </row>
    <row r="689" spans="31:32" ht="18" customHeight="1">
      <c r="AE689" s="583"/>
      <c r="AF689" s="583"/>
    </row>
    <row r="690" spans="31:32" ht="18" customHeight="1">
      <c r="AE690" s="583"/>
      <c r="AF690" s="583"/>
    </row>
    <row r="691" spans="31:32" ht="18" customHeight="1">
      <c r="AE691" s="583"/>
      <c r="AF691" s="583"/>
    </row>
    <row r="692" spans="31:32" ht="18" customHeight="1">
      <c r="AE692" s="583"/>
      <c r="AF692" s="583"/>
    </row>
    <row r="693" spans="31:32" ht="18" customHeight="1">
      <c r="AE693" s="583"/>
      <c r="AF693" s="583"/>
    </row>
    <row r="694" spans="31:32" ht="18" customHeight="1">
      <c r="AE694" s="583"/>
      <c r="AF694" s="583"/>
    </row>
    <row r="695" spans="31:32" ht="18" customHeight="1">
      <c r="AE695" s="583"/>
      <c r="AF695" s="583"/>
    </row>
    <row r="696" spans="31:32" ht="18" customHeight="1">
      <c r="AE696" s="583"/>
      <c r="AF696" s="583"/>
    </row>
    <row r="697" spans="31:32" ht="18" customHeight="1">
      <c r="AE697" s="583"/>
      <c r="AF697" s="583"/>
    </row>
    <row r="698" spans="31:32" ht="18" customHeight="1">
      <c r="AE698" s="583"/>
      <c r="AF698" s="583"/>
    </row>
    <row r="699" spans="31:32" ht="18" customHeight="1">
      <c r="AE699" s="583"/>
      <c r="AF699" s="583"/>
    </row>
    <row r="700" spans="31:32" ht="18" customHeight="1">
      <c r="AE700" s="583"/>
      <c r="AF700" s="583"/>
    </row>
    <row r="701" spans="31:32" ht="18" customHeight="1">
      <c r="AE701" s="583"/>
      <c r="AF701" s="583"/>
    </row>
    <row r="702" spans="31:32" ht="18" customHeight="1">
      <c r="AE702" s="583"/>
      <c r="AF702" s="583"/>
    </row>
    <row r="703" spans="31:32" ht="18" customHeight="1">
      <c r="AE703" s="583"/>
      <c r="AF703" s="583"/>
    </row>
    <row r="704" spans="31:32" ht="18" customHeight="1">
      <c r="AE704" s="583"/>
      <c r="AF704" s="583"/>
    </row>
    <row r="705" spans="31:32" ht="18" customHeight="1">
      <c r="AE705" s="583"/>
      <c r="AF705" s="583"/>
    </row>
    <row r="706" spans="31:32" ht="18" customHeight="1">
      <c r="AE706" s="583"/>
      <c r="AF706" s="583"/>
    </row>
    <row r="707" spans="31:32" ht="18" customHeight="1">
      <c r="AE707" s="583"/>
      <c r="AF707" s="583"/>
    </row>
    <row r="708" spans="31:32" ht="18" customHeight="1">
      <c r="AE708" s="583"/>
      <c r="AF708" s="583"/>
    </row>
    <row r="709" spans="31:32" ht="18" customHeight="1">
      <c r="AE709" s="583"/>
      <c r="AF709" s="583"/>
    </row>
    <row r="710" spans="31:32" ht="18" customHeight="1">
      <c r="AE710" s="583"/>
      <c r="AF710" s="583"/>
    </row>
    <row r="711" spans="31:32" ht="18" customHeight="1">
      <c r="AE711" s="583"/>
      <c r="AF711" s="583"/>
    </row>
    <row r="712" spans="31:32" ht="18" customHeight="1">
      <c r="AE712" s="583"/>
      <c r="AF712" s="583"/>
    </row>
    <row r="713" spans="31:32" ht="18" customHeight="1">
      <c r="AE713" s="583"/>
      <c r="AF713" s="583"/>
    </row>
    <row r="714" spans="31:32" ht="18" customHeight="1">
      <c r="AE714" s="583"/>
      <c r="AF714" s="583"/>
    </row>
    <row r="715" spans="31:32" ht="18" customHeight="1">
      <c r="AE715" s="583"/>
      <c r="AF715" s="583"/>
    </row>
    <row r="716" spans="31:32" ht="18" customHeight="1">
      <c r="AE716" s="583"/>
      <c r="AF716" s="583"/>
    </row>
    <row r="717" spans="31:32" ht="18" customHeight="1">
      <c r="AE717" s="583"/>
      <c r="AF717" s="583"/>
    </row>
    <row r="718" spans="31:32" ht="18" customHeight="1">
      <c r="AE718" s="583"/>
      <c r="AF718" s="583"/>
    </row>
    <row r="719" spans="31:32" ht="18" customHeight="1">
      <c r="AE719" s="583"/>
      <c r="AF719" s="583"/>
    </row>
    <row r="720" spans="31:32" ht="18" customHeight="1">
      <c r="AE720" s="583"/>
      <c r="AF720" s="583"/>
    </row>
    <row r="721" spans="31:32" ht="18" customHeight="1">
      <c r="AE721" s="583"/>
      <c r="AF721" s="583"/>
    </row>
    <row r="722" spans="31:32" ht="18" customHeight="1">
      <c r="AE722" s="583"/>
      <c r="AF722" s="583"/>
    </row>
    <row r="723" spans="31:32" ht="18" customHeight="1">
      <c r="AE723" s="583"/>
      <c r="AF723" s="583"/>
    </row>
    <row r="724" spans="31:32" ht="18" customHeight="1">
      <c r="AE724" s="583"/>
      <c r="AF724" s="583"/>
    </row>
    <row r="725" spans="31:32" ht="18" customHeight="1">
      <c r="AE725" s="583"/>
      <c r="AF725" s="583"/>
    </row>
    <row r="726" spans="31:32" ht="18" customHeight="1">
      <c r="AE726" s="583"/>
      <c r="AF726" s="583"/>
    </row>
    <row r="727" spans="31:32" ht="18" customHeight="1">
      <c r="AE727" s="583"/>
      <c r="AF727" s="583"/>
    </row>
    <row r="728" spans="31:32" ht="18" customHeight="1">
      <c r="AE728" s="583"/>
      <c r="AF728" s="583"/>
    </row>
    <row r="729" spans="31:32" ht="18" customHeight="1">
      <c r="AE729" s="583"/>
      <c r="AF729" s="583"/>
    </row>
    <row r="730" spans="31:32" ht="18" customHeight="1">
      <c r="AE730" s="583"/>
      <c r="AF730" s="583"/>
    </row>
    <row r="731" spans="31:32" ht="18" customHeight="1">
      <c r="AE731" s="583"/>
      <c r="AF731" s="583"/>
    </row>
    <row r="732" spans="31:32" ht="18" customHeight="1">
      <c r="AE732" s="583"/>
      <c r="AF732" s="583"/>
    </row>
    <row r="733" spans="31:32" ht="18" customHeight="1">
      <c r="AE733" s="583"/>
      <c r="AF733" s="583"/>
    </row>
    <row r="734" spans="31:32" ht="18" customHeight="1">
      <c r="AE734" s="583"/>
      <c r="AF734" s="583"/>
    </row>
    <row r="735" spans="31:32" ht="18" customHeight="1">
      <c r="AE735" s="583"/>
      <c r="AF735" s="583"/>
    </row>
    <row r="736" spans="31:32" ht="18" customHeight="1">
      <c r="AE736" s="583"/>
      <c r="AF736" s="583"/>
    </row>
    <row r="737" spans="31:32" ht="18" customHeight="1">
      <c r="AE737" s="583"/>
      <c r="AF737" s="583"/>
    </row>
    <row r="738" spans="31:32" ht="18" customHeight="1">
      <c r="AE738" s="583"/>
      <c r="AF738" s="583"/>
    </row>
    <row r="739" spans="31:32" ht="18" customHeight="1">
      <c r="AE739" s="583"/>
      <c r="AF739" s="583"/>
    </row>
    <row r="740" spans="31:32" ht="18" customHeight="1">
      <c r="AE740" s="583"/>
      <c r="AF740" s="583"/>
    </row>
    <row r="741" spans="31:32" ht="18" customHeight="1">
      <c r="AE741" s="583"/>
      <c r="AF741" s="583"/>
    </row>
    <row r="742" spans="31:32" ht="18" customHeight="1">
      <c r="AE742" s="583"/>
      <c r="AF742" s="583"/>
    </row>
    <row r="743" spans="31:32" ht="18" customHeight="1">
      <c r="AE743" s="583"/>
      <c r="AF743" s="583"/>
    </row>
    <row r="744" spans="31:32" ht="18" customHeight="1">
      <c r="AE744" s="583"/>
      <c r="AF744" s="583"/>
    </row>
    <row r="745" spans="31:32" ht="18" customHeight="1">
      <c r="AE745" s="583"/>
      <c r="AF745" s="583"/>
    </row>
    <row r="746" spans="31:32" ht="18" customHeight="1">
      <c r="AE746" s="583"/>
      <c r="AF746" s="583"/>
    </row>
    <row r="747" spans="31:32" ht="18" customHeight="1">
      <c r="AE747" s="583"/>
      <c r="AF747" s="583"/>
    </row>
    <row r="748" spans="31:32" ht="18" customHeight="1">
      <c r="AE748" s="583"/>
      <c r="AF748" s="583"/>
    </row>
    <row r="749" spans="31:32" ht="18" customHeight="1">
      <c r="AE749" s="583"/>
      <c r="AF749" s="583"/>
    </row>
    <row r="750" spans="31:32" ht="18" customHeight="1">
      <c r="AE750" s="583"/>
      <c r="AF750" s="583"/>
    </row>
    <row r="751" spans="31:32" ht="18" customHeight="1">
      <c r="AE751" s="583"/>
      <c r="AF751" s="583"/>
    </row>
    <row r="752" spans="31:32" ht="18" customHeight="1">
      <c r="AE752" s="583"/>
      <c r="AF752" s="583"/>
    </row>
    <row r="753" spans="31:32" ht="18" customHeight="1">
      <c r="AE753" s="583"/>
      <c r="AF753" s="583"/>
    </row>
    <row r="754" spans="31:32" ht="18" customHeight="1">
      <c r="AE754" s="583"/>
      <c r="AF754" s="583"/>
    </row>
    <row r="755" spans="31:32" ht="18" customHeight="1">
      <c r="AE755" s="583"/>
      <c r="AF755" s="583"/>
    </row>
    <row r="756" spans="31:32" ht="18" customHeight="1">
      <c r="AE756" s="583"/>
      <c r="AF756" s="583"/>
    </row>
    <row r="757" spans="31:32" ht="18" customHeight="1">
      <c r="AE757" s="583"/>
      <c r="AF757" s="583"/>
    </row>
    <row r="758" spans="31:32" ht="18" customHeight="1">
      <c r="AE758" s="583"/>
      <c r="AF758" s="583"/>
    </row>
    <row r="759" spans="31:32" ht="18" customHeight="1">
      <c r="AE759" s="583"/>
      <c r="AF759" s="583"/>
    </row>
    <row r="760" spans="31:32" ht="18" customHeight="1">
      <c r="AE760" s="583"/>
      <c r="AF760" s="583"/>
    </row>
    <row r="761" spans="31:32" ht="18" customHeight="1">
      <c r="AE761" s="583"/>
      <c r="AF761" s="583"/>
    </row>
    <row r="762" spans="31:32" ht="18" customHeight="1">
      <c r="AE762" s="583"/>
      <c r="AF762" s="583"/>
    </row>
    <row r="763" spans="31:32" ht="18" customHeight="1">
      <c r="AE763" s="583"/>
      <c r="AF763" s="583"/>
    </row>
    <row r="764" spans="31:32" ht="18" customHeight="1">
      <c r="AE764" s="583"/>
      <c r="AF764" s="583"/>
    </row>
    <row r="765" spans="31:32" ht="18" customHeight="1">
      <c r="AE765" s="583"/>
      <c r="AF765" s="583"/>
    </row>
    <row r="766" spans="31:32" ht="18" customHeight="1">
      <c r="AE766" s="583"/>
      <c r="AF766" s="583"/>
    </row>
    <row r="767" spans="31:32" ht="18" customHeight="1">
      <c r="AE767" s="583"/>
      <c r="AF767" s="583"/>
    </row>
    <row r="768" spans="31:32" ht="18" customHeight="1">
      <c r="AE768" s="583"/>
      <c r="AF768" s="583"/>
    </row>
    <row r="769" spans="31:32" ht="18" customHeight="1">
      <c r="AE769" s="583"/>
      <c r="AF769" s="583"/>
    </row>
    <row r="770" spans="31:32" ht="18" customHeight="1">
      <c r="AE770" s="583"/>
      <c r="AF770" s="583"/>
    </row>
    <row r="771" spans="31:32" ht="18" customHeight="1">
      <c r="AE771" s="583"/>
      <c r="AF771" s="583"/>
    </row>
    <row r="772" spans="31:32" ht="18" customHeight="1">
      <c r="AE772" s="583"/>
      <c r="AF772" s="583"/>
    </row>
    <row r="773" spans="31:32" ht="18" customHeight="1">
      <c r="AE773" s="583"/>
      <c r="AF773" s="583"/>
    </row>
    <row r="774" spans="31:32" ht="18" customHeight="1">
      <c r="AE774" s="583"/>
      <c r="AF774" s="583"/>
    </row>
    <row r="775" spans="31:32" ht="18" customHeight="1">
      <c r="AE775" s="583"/>
      <c r="AF775" s="583"/>
    </row>
    <row r="776" spans="31:32" ht="18" customHeight="1">
      <c r="AE776" s="583"/>
      <c r="AF776" s="583"/>
    </row>
    <row r="777" spans="31:32" ht="18" customHeight="1">
      <c r="AE777" s="583"/>
      <c r="AF777" s="583"/>
    </row>
    <row r="778" spans="31:32" ht="18" customHeight="1">
      <c r="AE778" s="583"/>
      <c r="AF778" s="583"/>
    </row>
    <row r="779" spans="31:32" ht="18" customHeight="1">
      <c r="AE779" s="583"/>
      <c r="AF779" s="583"/>
    </row>
    <row r="780" spans="31:32" ht="18" customHeight="1">
      <c r="AE780" s="583"/>
      <c r="AF780" s="583"/>
    </row>
    <row r="781" spans="31:32" ht="18" customHeight="1">
      <c r="AE781" s="583"/>
      <c r="AF781" s="583"/>
    </row>
    <row r="782" spans="31:32" ht="18" customHeight="1">
      <c r="AE782" s="583"/>
      <c r="AF782" s="583"/>
    </row>
    <row r="783" spans="31:32" ht="18" customHeight="1">
      <c r="AE783" s="583"/>
      <c r="AF783" s="583"/>
    </row>
    <row r="784" spans="31:32" ht="18" customHeight="1">
      <c r="AE784" s="583"/>
      <c r="AF784" s="583"/>
    </row>
    <row r="785" spans="31:32" ht="18" customHeight="1">
      <c r="AE785" s="583"/>
      <c r="AF785" s="583"/>
    </row>
    <row r="786" spans="31:32" ht="18" customHeight="1">
      <c r="AE786" s="583"/>
      <c r="AF786" s="583"/>
    </row>
    <row r="787" spans="31:32" ht="18" customHeight="1">
      <c r="AE787" s="583"/>
      <c r="AF787" s="583"/>
    </row>
    <row r="788" spans="31:32" ht="18" customHeight="1">
      <c r="AE788" s="583"/>
      <c r="AF788" s="583"/>
    </row>
    <row r="789" spans="31:32" ht="18" customHeight="1">
      <c r="AE789" s="583"/>
      <c r="AF789" s="583"/>
    </row>
    <row r="790" spans="31:32" ht="18" customHeight="1">
      <c r="AE790" s="583"/>
      <c r="AF790" s="583"/>
    </row>
    <row r="791" spans="31:32" ht="18" customHeight="1">
      <c r="AE791" s="583"/>
      <c r="AF791" s="583"/>
    </row>
    <row r="792" spans="31:32" ht="18" customHeight="1">
      <c r="AE792" s="583"/>
      <c r="AF792" s="583"/>
    </row>
    <row r="793" spans="31:32" ht="18" customHeight="1">
      <c r="AE793" s="583"/>
      <c r="AF793" s="583"/>
    </row>
    <row r="794" spans="31:32" ht="18" customHeight="1">
      <c r="AE794" s="583"/>
      <c r="AF794" s="583"/>
    </row>
    <row r="795" spans="31:32" ht="18" customHeight="1">
      <c r="AE795" s="583"/>
      <c r="AF795" s="583"/>
    </row>
    <row r="796" spans="31:32" ht="18" customHeight="1">
      <c r="AE796" s="583"/>
      <c r="AF796" s="583"/>
    </row>
    <row r="797" spans="31:32" ht="18" customHeight="1">
      <c r="AE797" s="583"/>
      <c r="AF797" s="583"/>
    </row>
    <row r="798" spans="31:32" ht="18" customHeight="1">
      <c r="AE798" s="583"/>
      <c r="AF798" s="583"/>
    </row>
    <row r="799" spans="31:32" ht="18" customHeight="1">
      <c r="AE799" s="583"/>
      <c r="AF799" s="583"/>
    </row>
    <row r="800" spans="31:32" ht="18" customHeight="1">
      <c r="AE800" s="583"/>
      <c r="AF800" s="583"/>
    </row>
    <row r="801" spans="31:32" ht="18" customHeight="1">
      <c r="AE801" s="583"/>
      <c r="AF801" s="583"/>
    </row>
    <row r="802" spans="31:32" ht="18" customHeight="1">
      <c r="AE802" s="583"/>
      <c r="AF802" s="583"/>
    </row>
    <row r="803" spans="31:32" ht="18" customHeight="1">
      <c r="AE803" s="583"/>
      <c r="AF803" s="583"/>
    </row>
    <row r="804" spans="31:32" ht="18" customHeight="1">
      <c r="AE804" s="583"/>
      <c r="AF804" s="583"/>
    </row>
    <row r="805" spans="31:32" ht="18" customHeight="1">
      <c r="AE805" s="583"/>
      <c r="AF805" s="583"/>
    </row>
    <row r="806" spans="31:32" ht="18" customHeight="1">
      <c r="AE806" s="583"/>
      <c r="AF806" s="583"/>
    </row>
    <row r="807" spans="31:32" ht="18" customHeight="1">
      <c r="AE807" s="583"/>
      <c r="AF807" s="583"/>
    </row>
    <row r="808" spans="31:32" ht="18" customHeight="1">
      <c r="AE808" s="583"/>
      <c r="AF808" s="583"/>
    </row>
    <row r="809" spans="31:32" ht="18" customHeight="1">
      <c r="AE809" s="583"/>
      <c r="AF809" s="583"/>
    </row>
    <row r="810" spans="31:32" ht="18" customHeight="1">
      <c r="AE810" s="583"/>
      <c r="AF810" s="583"/>
    </row>
    <row r="811" spans="31:32" ht="18" customHeight="1">
      <c r="AE811" s="583"/>
      <c r="AF811" s="583"/>
    </row>
    <row r="812" spans="31:32" ht="18" customHeight="1">
      <c r="AE812" s="583"/>
      <c r="AF812" s="583"/>
    </row>
    <row r="813" spans="31:32" ht="18" customHeight="1">
      <c r="AE813" s="583"/>
      <c r="AF813" s="583"/>
    </row>
    <row r="814" spans="31:32" ht="18" customHeight="1">
      <c r="AE814" s="583"/>
      <c r="AF814" s="583"/>
    </row>
    <row r="815" spans="31:32" ht="18" customHeight="1">
      <c r="AE815" s="583"/>
      <c r="AF815" s="583"/>
    </row>
    <row r="816" spans="31:32" ht="18" customHeight="1">
      <c r="AE816" s="583"/>
      <c r="AF816" s="583"/>
    </row>
    <row r="817" spans="31:32" ht="18" customHeight="1">
      <c r="AE817" s="583"/>
      <c r="AF817" s="583"/>
    </row>
    <row r="818" spans="31:32" ht="18" customHeight="1">
      <c r="AE818" s="583"/>
      <c r="AF818" s="583"/>
    </row>
    <row r="819" spans="31:32" ht="18" customHeight="1">
      <c r="AE819" s="583"/>
      <c r="AF819" s="583"/>
    </row>
    <row r="820" spans="31:32" ht="18" customHeight="1">
      <c r="AE820" s="583"/>
      <c r="AF820" s="583"/>
    </row>
    <row r="821" spans="31:32" ht="18" customHeight="1">
      <c r="AE821" s="583"/>
      <c r="AF821" s="583"/>
    </row>
    <row r="822" spans="31:32" ht="18" customHeight="1">
      <c r="AE822" s="583"/>
      <c r="AF822" s="583"/>
    </row>
    <row r="823" spans="31:32" ht="18" customHeight="1">
      <c r="AE823" s="583"/>
      <c r="AF823" s="583"/>
    </row>
    <row r="824" spans="31:32" ht="18" customHeight="1">
      <c r="AE824" s="583"/>
      <c r="AF824" s="583"/>
    </row>
    <row r="825" spans="31:32" ht="18" customHeight="1">
      <c r="AE825" s="583"/>
      <c r="AF825" s="583"/>
    </row>
    <row r="826" spans="31:32" ht="18" customHeight="1">
      <c r="AE826" s="583"/>
      <c r="AF826" s="583"/>
    </row>
    <row r="827" spans="31:32" ht="18" customHeight="1">
      <c r="AE827" s="583"/>
      <c r="AF827" s="583"/>
    </row>
    <row r="828" spans="31:32" ht="18" customHeight="1">
      <c r="AE828" s="583"/>
      <c r="AF828" s="583"/>
    </row>
    <row r="829" spans="31:32" ht="18" customHeight="1">
      <c r="AE829" s="583"/>
      <c r="AF829" s="583"/>
    </row>
    <row r="830" spans="31:32" ht="18" customHeight="1">
      <c r="AE830" s="583"/>
      <c r="AF830" s="583"/>
    </row>
    <row r="831" spans="31:32" ht="18" customHeight="1">
      <c r="AE831" s="583"/>
      <c r="AF831" s="583"/>
    </row>
    <row r="832" spans="31:32" ht="18" customHeight="1">
      <c r="AE832" s="583"/>
      <c r="AF832" s="583"/>
    </row>
    <row r="833" spans="31:32" ht="18" customHeight="1">
      <c r="AE833" s="583"/>
      <c r="AF833" s="583"/>
    </row>
    <row r="834" spans="31:32" ht="18" customHeight="1">
      <c r="AE834" s="583"/>
      <c r="AF834" s="583"/>
    </row>
    <row r="835" spans="31:32" ht="18" customHeight="1">
      <c r="AE835" s="583"/>
      <c r="AF835" s="583"/>
    </row>
    <row r="836" spans="31:32" ht="18" customHeight="1">
      <c r="AE836" s="583"/>
      <c r="AF836" s="583"/>
    </row>
    <row r="837" spans="31:32" ht="18" customHeight="1">
      <c r="AE837" s="583"/>
      <c r="AF837" s="583"/>
    </row>
    <row r="838" spans="31:32" ht="18" customHeight="1">
      <c r="AE838" s="583"/>
      <c r="AF838" s="583"/>
    </row>
    <row r="839" spans="31:32" ht="18" customHeight="1">
      <c r="AE839" s="583"/>
      <c r="AF839" s="583"/>
    </row>
    <row r="840" spans="31:32" ht="18" customHeight="1">
      <c r="AE840" s="583"/>
      <c r="AF840" s="583"/>
    </row>
    <row r="841" spans="31:32" ht="18" customHeight="1">
      <c r="AE841" s="583"/>
      <c r="AF841" s="583"/>
    </row>
    <row r="842" spans="31:32" ht="18" customHeight="1">
      <c r="AE842" s="583"/>
      <c r="AF842" s="583"/>
    </row>
    <row r="843" spans="31:32" ht="18" customHeight="1">
      <c r="AE843" s="583"/>
      <c r="AF843" s="583"/>
    </row>
    <row r="844" spans="31:32" ht="18" customHeight="1">
      <c r="AE844" s="583"/>
      <c r="AF844" s="583"/>
    </row>
    <row r="845" spans="31:32" ht="18" customHeight="1">
      <c r="AE845" s="583"/>
      <c r="AF845" s="583"/>
    </row>
    <row r="846" spans="31:32" ht="18" customHeight="1">
      <c r="AE846" s="583"/>
      <c r="AF846" s="583"/>
    </row>
    <row r="847" spans="31:32" ht="18" customHeight="1">
      <c r="AE847" s="583"/>
      <c r="AF847" s="583"/>
    </row>
    <row r="848" spans="31:32" ht="18" customHeight="1">
      <c r="AE848" s="583"/>
      <c r="AF848" s="583"/>
    </row>
    <row r="849" spans="31:32" ht="18" customHeight="1">
      <c r="AE849" s="583"/>
      <c r="AF849" s="583"/>
    </row>
    <row r="850" spans="31:32" ht="18" customHeight="1">
      <c r="AE850" s="583"/>
      <c r="AF850" s="583"/>
    </row>
    <row r="851" spans="31:32" ht="18" customHeight="1">
      <c r="AE851" s="583"/>
      <c r="AF851" s="583"/>
    </row>
    <row r="852" spans="31:32" ht="18" customHeight="1">
      <c r="AE852" s="583"/>
      <c r="AF852" s="583"/>
    </row>
    <row r="853" spans="31:32" ht="18" customHeight="1">
      <c r="AE853" s="583"/>
      <c r="AF853" s="583"/>
    </row>
    <row r="854" spans="31:32" ht="18" customHeight="1">
      <c r="AE854" s="583"/>
      <c r="AF854" s="583"/>
    </row>
    <row r="855" spans="31:32" ht="18" customHeight="1">
      <c r="AE855" s="583"/>
      <c r="AF855" s="583"/>
    </row>
    <row r="856" spans="31:32" ht="18" customHeight="1">
      <c r="AE856" s="583"/>
      <c r="AF856" s="583"/>
    </row>
    <row r="857" spans="31:32" ht="18" customHeight="1">
      <c r="AE857" s="583"/>
      <c r="AF857" s="583"/>
    </row>
    <row r="858" spans="31:32" ht="18" customHeight="1">
      <c r="AE858" s="583"/>
      <c r="AF858" s="583"/>
    </row>
    <row r="859" spans="31:32" ht="18" customHeight="1">
      <c r="AE859" s="583"/>
      <c r="AF859" s="583"/>
    </row>
    <row r="860" spans="31:32" ht="18" customHeight="1">
      <c r="AE860" s="583"/>
      <c r="AF860" s="583"/>
    </row>
    <row r="861" spans="31:32" ht="18" customHeight="1">
      <c r="AE861" s="583"/>
      <c r="AF861" s="583"/>
    </row>
    <row r="862" spans="31:32" ht="18" customHeight="1">
      <c r="AE862" s="583"/>
      <c r="AF862" s="583"/>
    </row>
    <row r="863" spans="31:32" ht="18" customHeight="1">
      <c r="AE863" s="583"/>
      <c r="AF863" s="583"/>
    </row>
    <row r="864" spans="31:32" ht="18" customHeight="1">
      <c r="AE864" s="583"/>
      <c r="AF864" s="583"/>
    </row>
    <row r="865" spans="31:32" ht="18" customHeight="1">
      <c r="AE865" s="583"/>
      <c r="AF865" s="583"/>
    </row>
    <row r="866" spans="31:32" ht="18" customHeight="1">
      <c r="AE866" s="583"/>
      <c r="AF866" s="583"/>
    </row>
    <row r="867" spans="31:32" ht="18" customHeight="1">
      <c r="AE867" s="583"/>
      <c r="AF867" s="583"/>
    </row>
    <row r="868" spans="31:32" ht="18" customHeight="1">
      <c r="AE868" s="583"/>
      <c r="AF868" s="583"/>
    </row>
    <row r="869" spans="31:32" ht="18" customHeight="1">
      <c r="AE869" s="583"/>
      <c r="AF869" s="583"/>
    </row>
    <row r="870" spans="31:32" ht="18" customHeight="1">
      <c r="AE870" s="583"/>
      <c r="AF870" s="583"/>
    </row>
    <row r="871" spans="31:32" ht="18" customHeight="1">
      <c r="AE871" s="583"/>
      <c r="AF871" s="583"/>
    </row>
    <row r="872" spans="31:32" ht="18" customHeight="1">
      <c r="AE872" s="583"/>
      <c r="AF872" s="583"/>
    </row>
    <row r="873" spans="31:32" ht="18" customHeight="1">
      <c r="AE873" s="583"/>
      <c r="AF873" s="583"/>
    </row>
    <row r="874" spans="31:32" ht="18" customHeight="1">
      <c r="AE874" s="583"/>
      <c r="AF874" s="583"/>
    </row>
    <row r="875" spans="31:32" ht="18" customHeight="1">
      <c r="AE875" s="583"/>
      <c r="AF875" s="583"/>
    </row>
    <row r="876" spans="31:32" ht="18" customHeight="1">
      <c r="AE876" s="583"/>
      <c r="AF876" s="583"/>
    </row>
    <row r="877" spans="31:32" ht="18" customHeight="1">
      <c r="AE877" s="583"/>
      <c r="AF877" s="583"/>
    </row>
    <row r="878" spans="31:32" ht="18" customHeight="1">
      <c r="AE878" s="583"/>
      <c r="AF878" s="583"/>
    </row>
    <row r="879" spans="31:32" ht="18" customHeight="1">
      <c r="AE879" s="583"/>
      <c r="AF879" s="583"/>
    </row>
    <row r="880" spans="31:32" ht="18" customHeight="1">
      <c r="AE880" s="583"/>
      <c r="AF880" s="583"/>
    </row>
    <row r="881" spans="31:32" ht="18" customHeight="1">
      <c r="AE881" s="583"/>
      <c r="AF881" s="583"/>
    </row>
    <row r="882" spans="31:32" ht="18" customHeight="1">
      <c r="AE882" s="583"/>
      <c r="AF882" s="583"/>
    </row>
    <row r="883" spans="31:32" ht="18" customHeight="1">
      <c r="AE883" s="583"/>
      <c r="AF883" s="583"/>
    </row>
    <row r="884" spans="31:32" ht="18" customHeight="1">
      <c r="AE884" s="583"/>
      <c r="AF884" s="583"/>
    </row>
    <row r="885" spans="31:32" ht="18" customHeight="1">
      <c r="AE885" s="583"/>
      <c r="AF885" s="583"/>
    </row>
    <row r="886" spans="31:32" ht="18" customHeight="1">
      <c r="AE886" s="583"/>
      <c r="AF886" s="583"/>
    </row>
    <row r="887" spans="31:32" ht="18" customHeight="1">
      <c r="AE887" s="583"/>
      <c r="AF887" s="583"/>
    </row>
    <row r="888" spans="31:32" ht="18" customHeight="1">
      <c r="AE888" s="583"/>
      <c r="AF888" s="583"/>
    </row>
    <row r="889" spans="31:32" ht="18" customHeight="1">
      <c r="AE889" s="583"/>
      <c r="AF889" s="583"/>
    </row>
    <row r="890" spans="31:32" ht="18" customHeight="1">
      <c r="AE890" s="583"/>
      <c r="AF890" s="583"/>
    </row>
    <row r="891" spans="31:32" ht="18" customHeight="1">
      <c r="AE891" s="583"/>
      <c r="AF891" s="583"/>
    </row>
    <row r="892" spans="31:32" ht="18" customHeight="1">
      <c r="AE892" s="583"/>
      <c r="AF892" s="583"/>
    </row>
    <row r="893" spans="31:32" ht="18" customHeight="1">
      <c r="AE893" s="583"/>
      <c r="AF893" s="583"/>
    </row>
    <row r="894" spans="31:32" ht="18" customHeight="1">
      <c r="AE894" s="583"/>
      <c r="AF894" s="583"/>
    </row>
    <row r="895" spans="31:32" ht="18" customHeight="1">
      <c r="AE895" s="583"/>
      <c r="AF895" s="583"/>
    </row>
    <row r="896" spans="31:32" ht="18" customHeight="1">
      <c r="AE896" s="583"/>
      <c r="AF896" s="583"/>
    </row>
    <row r="897" spans="31:32" ht="18" customHeight="1">
      <c r="AE897" s="583"/>
      <c r="AF897" s="583"/>
    </row>
    <row r="898" spans="31:32" ht="18" customHeight="1">
      <c r="AE898" s="583"/>
      <c r="AF898" s="583"/>
    </row>
    <row r="899" spans="31:32" ht="18" customHeight="1">
      <c r="AE899" s="583"/>
      <c r="AF899" s="583"/>
    </row>
    <row r="900" spans="31:32" ht="18" customHeight="1">
      <c r="AE900" s="583"/>
      <c r="AF900" s="583"/>
    </row>
    <row r="901" spans="31:32" ht="18" customHeight="1">
      <c r="AE901" s="583"/>
      <c r="AF901" s="583"/>
    </row>
    <row r="902" spans="31:32" ht="18" customHeight="1">
      <c r="AE902" s="583"/>
      <c r="AF902" s="583"/>
    </row>
    <row r="903" spans="31:32" ht="18" customHeight="1">
      <c r="AE903" s="583"/>
      <c r="AF903" s="583"/>
    </row>
    <row r="904" spans="31:32" ht="18" customHeight="1">
      <c r="AE904" s="583"/>
      <c r="AF904" s="583"/>
    </row>
    <row r="905" spans="31:32" ht="18" customHeight="1">
      <c r="AE905" s="583"/>
      <c r="AF905" s="583"/>
    </row>
    <row r="906" spans="31:32" ht="18" customHeight="1">
      <c r="AE906" s="583"/>
      <c r="AF906" s="583"/>
    </row>
    <row r="907" spans="31:32" ht="18" customHeight="1">
      <c r="AE907" s="583"/>
      <c r="AF907" s="583"/>
    </row>
    <row r="908" spans="31:32" ht="18" customHeight="1">
      <c r="AE908" s="583"/>
      <c r="AF908" s="583"/>
    </row>
    <row r="909" spans="31:32" ht="18" customHeight="1">
      <c r="AE909" s="583"/>
      <c r="AF909" s="583"/>
    </row>
    <row r="910" spans="31:32" ht="18" customHeight="1">
      <c r="AE910" s="583"/>
      <c r="AF910" s="583"/>
    </row>
    <row r="911" spans="31:32" ht="18" customHeight="1">
      <c r="AE911" s="583"/>
      <c r="AF911" s="583"/>
    </row>
    <row r="912" spans="31:32" ht="18" customHeight="1">
      <c r="AE912" s="583"/>
      <c r="AF912" s="583"/>
    </row>
    <row r="913" spans="31:32" ht="18" customHeight="1">
      <c r="AE913" s="583"/>
      <c r="AF913" s="583"/>
    </row>
    <row r="914" spans="31:32" ht="18" customHeight="1">
      <c r="AE914" s="583"/>
      <c r="AF914" s="583"/>
    </row>
    <row r="915" spans="31:32" ht="18" customHeight="1">
      <c r="AE915" s="583"/>
      <c r="AF915" s="583"/>
    </row>
    <row r="916" spans="31:32" ht="18" customHeight="1">
      <c r="AE916" s="583"/>
      <c r="AF916" s="583"/>
    </row>
    <row r="917" spans="31:32" ht="18" customHeight="1">
      <c r="AE917" s="583"/>
      <c r="AF917" s="583"/>
    </row>
    <row r="918" spans="31:32" ht="18" customHeight="1">
      <c r="AE918" s="583"/>
      <c r="AF918" s="583"/>
    </row>
    <row r="919" spans="31:32" ht="18" customHeight="1">
      <c r="AE919" s="583"/>
      <c r="AF919" s="583"/>
    </row>
    <row r="920" spans="31:32" ht="18" customHeight="1">
      <c r="AE920" s="583"/>
      <c r="AF920" s="583"/>
    </row>
    <row r="921" spans="31:32" ht="18" customHeight="1">
      <c r="AE921" s="583"/>
      <c r="AF921" s="583"/>
    </row>
    <row r="922" spans="31:32" ht="18" customHeight="1">
      <c r="AE922" s="583"/>
      <c r="AF922" s="583"/>
    </row>
    <row r="923" spans="31:32" ht="18" customHeight="1">
      <c r="AE923" s="583"/>
      <c r="AF923" s="583"/>
    </row>
    <row r="924" spans="31:32" ht="18" customHeight="1">
      <c r="AE924" s="583"/>
      <c r="AF924" s="583"/>
    </row>
    <row r="925" spans="31:32" ht="18" customHeight="1">
      <c r="AE925" s="583"/>
      <c r="AF925" s="583"/>
    </row>
    <row r="926" spans="31:32" ht="18" customHeight="1">
      <c r="AE926" s="583"/>
      <c r="AF926" s="583"/>
    </row>
    <row r="927" spans="31:32" ht="18" customHeight="1">
      <c r="AE927" s="583"/>
      <c r="AF927" s="583"/>
    </row>
    <row r="928" spans="31:32" ht="18" customHeight="1">
      <c r="AE928" s="583"/>
      <c r="AF928" s="583"/>
    </row>
    <row r="929" spans="31:32" ht="18" customHeight="1">
      <c r="AE929" s="583"/>
      <c r="AF929" s="583"/>
    </row>
    <row r="930" spans="31:32" ht="18" customHeight="1">
      <c r="AE930" s="583"/>
      <c r="AF930" s="583"/>
    </row>
    <row r="931" spans="31:32" ht="18" customHeight="1">
      <c r="AE931" s="583"/>
      <c r="AF931" s="583"/>
    </row>
    <row r="932" spans="31:32" ht="18" customHeight="1">
      <c r="AE932" s="583"/>
      <c r="AF932" s="583"/>
    </row>
    <row r="933" spans="31:32" ht="18" customHeight="1">
      <c r="AE933" s="583"/>
      <c r="AF933" s="583"/>
    </row>
    <row r="934" spans="31:32" ht="18" customHeight="1">
      <c r="AE934" s="583"/>
      <c r="AF934" s="583"/>
    </row>
    <row r="935" spans="31:32" ht="18" customHeight="1">
      <c r="AE935" s="583"/>
      <c r="AF935" s="583"/>
    </row>
    <row r="936" spans="31:32" ht="18" customHeight="1">
      <c r="AE936" s="583"/>
      <c r="AF936" s="583"/>
    </row>
    <row r="937" spans="31:32" ht="18" customHeight="1">
      <c r="AE937" s="583"/>
      <c r="AF937" s="583"/>
    </row>
    <row r="938" spans="31:32" ht="18" customHeight="1">
      <c r="AE938" s="583"/>
      <c r="AF938" s="583"/>
    </row>
    <row r="939" spans="31:32" ht="18" customHeight="1">
      <c r="AE939" s="583"/>
      <c r="AF939" s="583"/>
    </row>
    <row r="940" spans="31:32" ht="18" customHeight="1">
      <c r="AE940" s="583"/>
      <c r="AF940" s="583"/>
    </row>
    <row r="941" spans="31:32" ht="18" customHeight="1">
      <c r="AE941" s="583"/>
      <c r="AF941" s="583"/>
    </row>
    <row r="942" spans="31:32" ht="18" customHeight="1">
      <c r="AE942" s="583"/>
      <c r="AF942" s="583"/>
    </row>
    <row r="943" spans="31:32" ht="18" customHeight="1">
      <c r="AE943" s="583"/>
      <c r="AF943" s="583"/>
    </row>
    <row r="944" spans="31:32" ht="18" customHeight="1">
      <c r="AE944" s="583"/>
      <c r="AF944" s="583"/>
    </row>
    <row r="945" spans="31:32" ht="18" customHeight="1">
      <c r="AE945" s="583"/>
      <c r="AF945" s="583"/>
    </row>
    <row r="946" spans="31:32" ht="18" customHeight="1">
      <c r="AE946" s="583"/>
      <c r="AF946" s="583"/>
    </row>
    <row r="947" spans="31:32" ht="18" customHeight="1">
      <c r="AE947" s="583"/>
      <c r="AF947" s="583"/>
    </row>
    <row r="948" spans="31:32" ht="18" customHeight="1">
      <c r="AE948" s="583"/>
      <c r="AF948" s="583"/>
    </row>
    <row r="949" spans="31:32" ht="18" customHeight="1">
      <c r="AE949" s="583"/>
      <c r="AF949" s="583"/>
    </row>
    <row r="950" spans="31:32" ht="18" customHeight="1">
      <c r="AE950" s="583"/>
      <c r="AF950" s="583"/>
    </row>
    <row r="951" spans="31:32" ht="18" customHeight="1">
      <c r="AE951" s="583"/>
      <c r="AF951" s="583"/>
    </row>
    <row r="952" spans="31:32" ht="18" customHeight="1">
      <c r="AE952" s="583"/>
      <c r="AF952" s="583"/>
    </row>
    <row r="953" spans="31:32" ht="18" customHeight="1">
      <c r="AE953" s="583"/>
      <c r="AF953" s="583"/>
    </row>
    <row r="954" spans="31:32" ht="18" customHeight="1">
      <c r="AE954" s="583"/>
      <c r="AF954" s="583"/>
    </row>
    <row r="955" spans="31:32" ht="18" customHeight="1">
      <c r="AE955" s="583"/>
      <c r="AF955" s="583"/>
    </row>
    <row r="956" spans="31:32" ht="18" customHeight="1">
      <c r="AE956" s="583"/>
      <c r="AF956" s="583"/>
    </row>
    <row r="957" spans="31:32" ht="18" customHeight="1">
      <c r="AE957" s="583"/>
      <c r="AF957" s="583"/>
    </row>
    <row r="958" spans="31:32" ht="18" customHeight="1">
      <c r="AE958" s="583"/>
      <c r="AF958" s="583"/>
    </row>
    <row r="959" spans="31:32" ht="18" customHeight="1">
      <c r="AE959" s="583"/>
      <c r="AF959" s="583"/>
    </row>
    <row r="960" spans="31:32" ht="18" customHeight="1">
      <c r="AE960" s="583"/>
      <c r="AF960" s="583"/>
    </row>
    <row r="961" spans="31:32" ht="18" customHeight="1">
      <c r="AE961" s="583"/>
      <c r="AF961" s="583"/>
    </row>
    <row r="962" spans="31:32" ht="18" customHeight="1">
      <c r="AE962" s="583"/>
      <c r="AF962" s="583"/>
    </row>
    <row r="963" spans="31:32" ht="18" customHeight="1">
      <c r="AE963" s="583"/>
      <c r="AF963" s="583"/>
    </row>
    <row r="964" spans="31:32" ht="18" customHeight="1">
      <c r="AE964" s="583"/>
      <c r="AF964" s="583"/>
    </row>
    <row r="965" spans="31:32" ht="18" customHeight="1">
      <c r="AE965" s="583"/>
      <c r="AF965" s="583"/>
    </row>
    <row r="966" spans="31:32" ht="18" customHeight="1">
      <c r="AE966" s="583"/>
      <c r="AF966" s="583"/>
    </row>
    <row r="967" spans="31:32" ht="18" customHeight="1">
      <c r="AE967" s="583"/>
      <c r="AF967" s="583"/>
    </row>
    <row r="968" spans="31:32" ht="18" customHeight="1">
      <c r="AE968" s="583"/>
      <c r="AF968" s="583"/>
    </row>
    <row r="969" spans="31:32" ht="18" customHeight="1">
      <c r="AE969" s="583"/>
      <c r="AF969" s="583"/>
    </row>
    <row r="970" spans="31:32" ht="18" customHeight="1">
      <c r="AE970" s="583"/>
      <c r="AF970" s="583"/>
    </row>
    <row r="971" spans="31:32" ht="18" customHeight="1">
      <c r="AE971" s="583"/>
      <c r="AF971" s="583"/>
    </row>
    <row r="972" spans="31:32" ht="18" customHeight="1">
      <c r="AE972" s="583"/>
      <c r="AF972" s="583"/>
    </row>
    <row r="973" spans="31:32" ht="18" customHeight="1">
      <c r="AE973" s="583"/>
      <c r="AF973" s="583"/>
    </row>
    <row r="974" spans="31:32" ht="18" customHeight="1">
      <c r="AE974" s="583"/>
      <c r="AF974" s="583"/>
    </row>
    <row r="975" spans="31:32" ht="18" customHeight="1">
      <c r="AE975" s="583"/>
      <c r="AF975" s="583"/>
    </row>
    <row r="976" spans="31:32" ht="18" customHeight="1">
      <c r="AE976" s="583"/>
      <c r="AF976" s="583"/>
    </row>
    <row r="977" spans="31:32" ht="18" customHeight="1">
      <c r="AE977" s="583"/>
      <c r="AF977" s="583"/>
    </row>
    <row r="978" spans="31:32" ht="18" customHeight="1">
      <c r="AE978" s="583"/>
      <c r="AF978" s="583"/>
    </row>
    <row r="979" spans="31:32" ht="18" customHeight="1">
      <c r="AE979" s="583"/>
      <c r="AF979" s="583"/>
    </row>
    <row r="980" spans="31:32" ht="18" customHeight="1">
      <c r="AE980" s="583"/>
      <c r="AF980" s="583"/>
    </row>
    <row r="981" spans="31:32" ht="18" customHeight="1">
      <c r="AE981" s="583"/>
      <c r="AF981" s="583"/>
    </row>
    <row r="982" spans="31:32" ht="18" customHeight="1">
      <c r="AE982" s="583"/>
      <c r="AF982" s="583"/>
    </row>
    <row r="983" spans="31:32" ht="18" customHeight="1">
      <c r="AE983" s="583"/>
      <c r="AF983" s="583"/>
    </row>
    <row r="984" spans="31:32" ht="18" customHeight="1">
      <c r="AE984" s="583"/>
      <c r="AF984" s="583"/>
    </row>
    <row r="985" spans="31:32" ht="18" customHeight="1">
      <c r="AE985" s="583"/>
      <c r="AF985" s="583"/>
    </row>
    <row r="986" spans="31:32" ht="18" customHeight="1">
      <c r="AE986" s="583"/>
      <c r="AF986" s="583"/>
    </row>
    <row r="987" spans="31:32" ht="18" customHeight="1">
      <c r="AE987" s="583"/>
      <c r="AF987" s="583"/>
    </row>
    <row r="988" spans="31:32" ht="18" customHeight="1">
      <c r="AE988" s="583"/>
      <c r="AF988" s="583"/>
    </row>
    <row r="989" spans="31:32" ht="18" customHeight="1">
      <c r="AE989" s="583"/>
      <c r="AF989" s="583"/>
    </row>
    <row r="990" spans="31:32" ht="18" customHeight="1">
      <c r="AE990" s="583"/>
      <c r="AF990" s="583"/>
    </row>
    <row r="991" spans="31:32" ht="18" customHeight="1">
      <c r="AE991" s="583"/>
      <c r="AF991" s="583"/>
    </row>
    <row r="992" spans="31:32" ht="18" customHeight="1">
      <c r="AE992" s="583"/>
      <c r="AF992" s="583"/>
    </row>
    <row r="993" spans="31:32" ht="18" customHeight="1">
      <c r="AE993" s="583"/>
      <c r="AF993" s="583"/>
    </row>
    <row r="994" spans="31:32" ht="18" customHeight="1">
      <c r="AE994" s="583"/>
      <c r="AF994" s="583"/>
    </row>
    <row r="995" spans="31:32" ht="18" customHeight="1">
      <c r="AE995" s="583"/>
      <c r="AF995" s="583"/>
    </row>
    <row r="996" spans="31:32" ht="18" customHeight="1">
      <c r="AE996" s="583"/>
      <c r="AF996" s="583"/>
    </row>
    <row r="997" spans="31:32" ht="18" customHeight="1">
      <c r="AE997" s="583"/>
      <c r="AF997" s="583"/>
    </row>
    <row r="998" spans="31:32" ht="18" customHeight="1">
      <c r="AE998" s="583"/>
      <c r="AF998" s="583"/>
    </row>
    <row r="999" spans="31:32" ht="18" customHeight="1">
      <c r="AE999" s="583"/>
      <c r="AF999" s="583"/>
    </row>
    <row r="1000" spans="31:32" ht="18" customHeight="1">
      <c r="AE1000" s="583"/>
      <c r="AF1000" s="583"/>
    </row>
    <row r="1001" spans="31:32" ht="18" customHeight="1">
      <c r="AE1001" s="583"/>
      <c r="AF1001" s="583"/>
    </row>
    <row r="1002" spans="31:32" ht="18" customHeight="1">
      <c r="AE1002" s="583"/>
      <c r="AF1002" s="583"/>
    </row>
    <row r="1003" spans="31:32" ht="18" customHeight="1">
      <c r="AE1003" s="583"/>
      <c r="AF1003" s="583"/>
    </row>
    <row r="1004" spans="31:32" ht="18" customHeight="1">
      <c r="AE1004" s="583"/>
      <c r="AF1004" s="583"/>
    </row>
    <row r="1005" spans="31:32" ht="18" customHeight="1">
      <c r="AE1005" s="583"/>
      <c r="AF1005" s="583"/>
    </row>
    <row r="1006" spans="31:32" ht="18" customHeight="1">
      <c r="AE1006" s="583"/>
      <c r="AF1006" s="583"/>
    </row>
    <row r="1007" spans="31:32" ht="18" customHeight="1">
      <c r="AE1007" s="583"/>
      <c r="AF1007" s="583"/>
    </row>
    <row r="1008" spans="31:32" ht="18" customHeight="1">
      <c r="AE1008" s="583"/>
      <c r="AF1008" s="583"/>
    </row>
    <row r="1009" spans="31:32" ht="18" customHeight="1">
      <c r="AE1009" s="583"/>
      <c r="AF1009" s="583"/>
    </row>
    <row r="1010" spans="31:32" ht="18" customHeight="1">
      <c r="AE1010" s="583"/>
      <c r="AF1010" s="583"/>
    </row>
    <row r="1011" spans="31:32" ht="18" customHeight="1">
      <c r="AE1011" s="583"/>
      <c r="AF1011" s="583"/>
    </row>
    <row r="1012" spans="31:32" ht="18" customHeight="1">
      <c r="AE1012" s="583"/>
      <c r="AF1012" s="583"/>
    </row>
    <row r="1013" spans="31:32" ht="18" customHeight="1">
      <c r="AE1013" s="583"/>
      <c r="AF1013" s="583"/>
    </row>
    <row r="1014" spans="31:32" ht="18" customHeight="1">
      <c r="AE1014" s="583"/>
      <c r="AF1014" s="583"/>
    </row>
    <row r="1015" spans="31:32" ht="18" customHeight="1">
      <c r="AE1015" s="583"/>
      <c r="AF1015" s="583"/>
    </row>
    <row r="1016" spans="31:32" ht="18" customHeight="1">
      <c r="AE1016" s="583"/>
      <c r="AF1016" s="583"/>
    </row>
    <row r="1017" spans="31:32" ht="18" customHeight="1">
      <c r="AE1017" s="583"/>
      <c r="AF1017" s="583"/>
    </row>
    <row r="1018" spans="31:32" ht="18" customHeight="1">
      <c r="AE1018" s="583"/>
      <c r="AF1018" s="583"/>
    </row>
    <row r="1019" spans="31:32" ht="18" customHeight="1">
      <c r="AE1019" s="583"/>
      <c r="AF1019" s="583"/>
    </row>
    <row r="1020" spans="31:32" ht="18" customHeight="1">
      <c r="AE1020" s="583"/>
      <c r="AF1020" s="583"/>
    </row>
    <row r="1021" spans="31:32" ht="18" customHeight="1">
      <c r="AE1021" s="583"/>
      <c r="AF1021" s="583"/>
    </row>
    <row r="1022" spans="31:32" ht="18" customHeight="1">
      <c r="AE1022" s="583"/>
      <c r="AF1022" s="583"/>
    </row>
    <row r="1023" spans="31:32" ht="18" customHeight="1">
      <c r="AE1023" s="583"/>
      <c r="AF1023" s="583"/>
    </row>
    <row r="1024" spans="31:32" ht="18" customHeight="1">
      <c r="AE1024" s="583"/>
      <c r="AF1024" s="583"/>
    </row>
    <row r="1025" spans="31:32" ht="18" customHeight="1">
      <c r="AE1025" s="583"/>
      <c r="AF1025" s="583"/>
    </row>
    <row r="1026" spans="31:32" ht="18" customHeight="1">
      <c r="AE1026" s="583"/>
      <c r="AF1026" s="583"/>
    </row>
    <row r="1027" spans="31:32" ht="18" customHeight="1">
      <c r="AE1027" s="583"/>
      <c r="AF1027" s="583"/>
    </row>
    <row r="1028" spans="31:32" ht="18" customHeight="1">
      <c r="AE1028" s="583"/>
      <c r="AF1028" s="583"/>
    </row>
    <row r="1029" spans="31:32" ht="18" customHeight="1">
      <c r="AE1029" s="583"/>
      <c r="AF1029" s="583"/>
    </row>
    <row r="1030" spans="31:32" ht="18" customHeight="1">
      <c r="AE1030" s="583"/>
      <c r="AF1030" s="583"/>
    </row>
    <row r="1031" spans="31:32" ht="18" customHeight="1">
      <c r="AE1031" s="583"/>
      <c r="AF1031" s="583"/>
    </row>
    <row r="1032" spans="31:32" ht="18" customHeight="1">
      <c r="AE1032" s="583"/>
      <c r="AF1032" s="583"/>
    </row>
    <row r="1033" spans="31:32" ht="18" customHeight="1">
      <c r="AE1033" s="583"/>
      <c r="AF1033" s="583"/>
    </row>
    <row r="1034" spans="31:32" ht="18" customHeight="1">
      <c r="AE1034" s="583"/>
      <c r="AF1034" s="583"/>
    </row>
    <row r="1035" spans="31:32" ht="18" customHeight="1">
      <c r="AE1035" s="583"/>
      <c r="AF1035" s="583"/>
    </row>
    <row r="1036" spans="31:32" ht="18" customHeight="1">
      <c r="AE1036" s="583"/>
      <c r="AF1036" s="583"/>
    </row>
    <row r="1037" spans="31:32" ht="18" customHeight="1">
      <c r="AE1037" s="583"/>
      <c r="AF1037" s="583"/>
    </row>
    <row r="1038" spans="31:32" ht="18" customHeight="1">
      <c r="AE1038" s="583"/>
      <c r="AF1038" s="583"/>
    </row>
    <row r="1039" spans="31:32" ht="18" customHeight="1">
      <c r="AE1039" s="583"/>
      <c r="AF1039" s="583"/>
    </row>
    <row r="1040" spans="31:32" ht="18" customHeight="1">
      <c r="AE1040" s="583"/>
      <c r="AF1040" s="583"/>
    </row>
    <row r="1041" spans="31:32" ht="18" customHeight="1">
      <c r="AE1041" s="583"/>
      <c r="AF1041" s="583"/>
    </row>
    <row r="1042" spans="31:32" ht="18" customHeight="1">
      <c r="AE1042" s="583"/>
      <c r="AF1042" s="583"/>
    </row>
    <row r="1043" spans="31:32" ht="18" customHeight="1">
      <c r="AE1043" s="583"/>
      <c r="AF1043" s="583"/>
    </row>
    <row r="1044" spans="31:32" ht="18" customHeight="1">
      <c r="AE1044" s="583"/>
      <c r="AF1044" s="583"/>
    </row>
    <row r="1045" spans="31:32" ht="18" customHeight="1">
      <c r="AE1045" s="583"/>
      <c r="AF1045" s="583"/>
    </row>
    <row r="1046" spans="31:32" ht="18" customHeight="1">
      <c r="AE1046" s="583"/>
      <c r="AF1046" s="583"/>
    </row>
    <row r="1047" spans="31:32" ht="18" customHeight="1">
      <c r="AE1047" s="583"/>
      <c r="AF1047" s="583"/>
    </row>
    <row r="1048" spans="31:32" ht="18" customHeight="1">
      <c r="AE1048" s="583"/>
      <c r="AF1048" s="583"/>
    </row>
    <row r="1049" spans="31:32" ht="18" customHeight="1">
      <c r="AE1049" s="583"/>
      <c r="AF1049" s="583"/>
    </row>
    <row r="1050" spans="31:32" ht="18" customHeight="1">
      <c r="AE1050" s="583"/>
      <c r="AF1050" s="583"/>
    </row>
    <row r="1051" spans="31:32" ht="18" customHeight="1">
      <c r="AE1051" s="583"/>
      <c r="AF1051" s="583"/>
    </row>
    <row r="1052" spans="31:32" ht="18" customHeight="1">
      <c r="AE1052" s="583"/>
      <c r="AF1052" s="583"/>
    </row>
    <row r="1053" spans="31:32" ht="18" customHeight="1">
      <c r="AE1053" s="583"/>
      <c r="AF1053" s="583"/>
    </row>
    <row r="1054" spans="31:32" ht="18" customHeight="1">
      <c r="AE1054" s="583"/>
      <c r="AF1054" s="583"/>
    </row>
    <row r="1055" spans="31:32" ht="18" customHeight="1">
      <c r="AE1055" s="583"/>
      <c r="AF1055" s="583"/>
    </row>
    <row r="1056" spans="31:32" ht="18" customHeight="1">
      <c r="AE1056" s="583"/>
      <c r="AF1056" s="583"/>
    </row>
    <row r="1057" spans="31:32" ht="18" customHeight="1">
      <c r="AE1057" s="583"/>
      <c r="AF1057" s="583"/>
    </row>
    <row r="1058" spans="31:32" ht="18" customHeight="1">
      <c r="AE1058" s="583"/>
      <c r="AF1058" s="583"/>
    </row>
    <row r="1059" spans="31:32" ht="18" customHeight="1">
      <c r="AE1059" s="583"/>
      <c r="AF1059" s="583"/>
    </row>
    <row r="1060" spans="31:32" ht="18" customHeight="1">
      <c r="AE1060" s="583"/>
      <c r="AF1060" s="583"/>
    </row>
    <row r="1061" spans="31:32" ht="18" customHeight="1">
      <c r="AE1061" s="583"/>
      <c r="AF1061" s="583"/>
    </row>
    <row r="1062" spans="31:32" ht="18" customHeight="1">
      <c r="AE1062" s="583"/>
      <c r="AF1062" s="583"/>
    </row>
    <row r="1063" spans="31:32" ht="18" customHeight="1">
      <c r="AE1063" s="583"/>
      <c r="AF1063" s="583"/>
    </row>
    <row r="1064" spans="31:32" ht="18" customHeight="1">
      <c r="AE1064" s="583"/>
      <c r="AF1064" s="583"/>
    </row>
    <row r="1065" spans="31:32" ht="18" customHeight="1">
      <c r="AE1065" s="583"/>
      <c r="AF1065" s="583"/>
    </row>
    <row r="1066" spans="31:32" ht="18" customHeight="1">
      <c r="AE1066" s="583"/>
      <c r="AF1066" s="583"/>
    </row>
    <row r="1067" spans="31:32" ht="18" customHeight="1">
      <c r="AE1067" s="583"/>
      <c r="AF1067" s="583"/>
    </row>
    <row r="1068" spans="31:32" ht="18" customHeight="1">
      <c r="AE1068" s="583"/>
      <c r="AF1068" s="583"/>
    </row>
    <row r="1069" spans="31:32" ht="18" customHeight="1">
      <c r="AE1069" s="583"/>
      <c r="AF1069" s="583"/>
    </row>
    <row r="1070" spans="31:32" ht="18" customHeight="1">
      <c r="AE1070" s="583"/>
      <c r="AF1070" s="583"/>
    </row>
    <row r="1071" spans="31:32" ht="18" customHeight="1">
      <c r="AE1071" s="583"/>
      <c r="AF1071" s="583"/>
    </row>
    <row r="1072" spans="31:32" ht="18" customHeight="1">
      <c r="AE1072" s="583"/>
      <c r="AF1072" s="583"/>
    </row>
    <row r="1073" spans="31:32" ht="18" customHeight="1">
      <c r="AE1073" s="583"/>
      <c r="AF1073" s="583"/>
    </row>
    <row r="1074" spans="31:32" ht="18" customHeight="1">
      <c r="AE1074" s="583"/>
      <c r="AF1074" s="583"/>
    </row>
    <row r="1075" spans="31:32" ht="18" customHeight="1">
      <c r="AE1075" s="583"/>
      <c r="AF1075" s="583"/>
    </row>
    <row r="1076" spans="31:32" ht="18" customHeight="1">
      <c r="AE1076" s="583"/>
      <c r="AF1076" s="583"/>
    </row>
    <row r="1077" spans="31:32" ht="18" customHeight="1">
      <c r="AE1077" s="583"/>
      <c r="AF1077" s="583"/>
    </row>
    <row r="1078" spans="31:32" ht="18" customHeight="1">
      <c r="AE1078" s="583"/>
      <c r="AF1078" s="583"/>
    </row>
    <row r="1079" spans="31:32" ht="18" customHeight="1">
      <c r="AE1079" s="583"/>
      <c r="AF1079" s="583"/>
    </row>
    <row r="1080" spans="31:32" ht="18" customHeight="1">
      <c r="AE1080" s="583"/>
      <c r="AF1080" s="583"/>
    </row>
    <row r="1081" spans="31:32" ht="18" customHeight="1">
      <c r="AE1081" s="583"/>
      <c r="AF1081" s="583"/>
    </row>
    <row r="1082" spans="31:32" ht="18" customHeight="1">
      <c r="AE1082" s="583"/>
      <c r="AF1082" s="583"/>
    </row>
    <row r="1083" spans="31:32" ht="18" customHeight="1">
      <c r="AE1083" s="583"/>
      <c r="AF1083" s="583"/>
    </row>
    <row r="1084" spans="31:32" ht="18" customHeight="1">
      <c r="AE1084" s="583"/>
      <c r="AF1084" s="583"/>
    </row>
    <row r="1085" spans="31:32" ht="18" customHeight="1">
      <c r="AE1085" s="583"/>
      <c r="AF1085" s="583"/>
    </row>
    <row r="1086" spans="31:32" ht="18" customHeight="1">
      <c r="AE1086" s="583"/>
      <c r="AF1086" s="583"/>
    </row>
    <row r="1087" spans="31:32" ht="18" customHeight="1">
      <c r="AE1087" s="583"/>
      <c r="AF1087" s="583"/>
    </row>
    <row r="1088" spans="31:32" ht="18" customHeight="1">
      <c r="AE1088" s="583"/>
      <c r="AF1088" s="583"/>
    </row>
    <row r="1089" spans="31:32" ht="18" customHeight="1">
      <c r="AE1089" s="583"/>
      <c r="AF1089" s="583"/>
    </row>
    <row r="1090" spans="31:32" ht="18" customHeight="1">
      <c r="AE1090" s="583"/>
      <c r="AF1090" s="583"/>
    </row>
    <row r="1091" spans="31:32" ht="18" customHeight="1">
      <c r="AE1091" s="583"/>
      <c r="AF1091" s="583"/>
    </row>
    <row r="1092" spans="31:32" ht="18" customHeight="1">
      <c r="AE1092" s="583"/>
      <c r="AF1092" s="583"/>
    </row>
    <row r="1093" spans="31:32" ht="18" customHeight="1">
      <c r="AE1093" s="583"/>
      <c r="AF1093" s="583"/>
    </row>
    <row r="1094" spans="31:32" ht="18" customHeight="1">
      <c r="AE1094" s="583"/>
      <c r="AF1094" s="583"/>
    </row>
    <row r="1095" spans="31:32" ht="18" customHeight="1">
      <c r="AE1095" s="583"/>
      <c r="AF1095" s="583"/>
    </row>
    <row r="1096" spans="31:32" ht="18" customHeight="1">
      <c r="AE1096" s="583"/>
      <c r="AF1096" s="583"/>
    </row>
    <row r="1097" spans="31:32" ht="18" customHeight="1">
      <c r="AE1097" s="583"/>
      <c r="AF1097" s="583"/>
    </row>
    <row r="1098" spans="31:32" ht="18" customHeight="1">
      <c r="AE1098" s="583"/>
      <c r="AF1098" s="583"/>
    </row>
    <row r="1099" spans="31:32" ht="18" customHeight="1">
      <c r="AE1099" s="583"/>
      <c r="AF1099" s="583"/>
    </row>
    <row r="1100" spans="31:32" ht="18" customHeight="1">
      <c r="AE1100" s="583"/>
      <c r="AF1100" s="583"/>
    </row>
    <row r="1101" spans="31:32" ht="18" customHeight="1">
      <c r="AE1101" s="583"/>
      <c r="AF1101" s="583"/>
    </row>
    <row r="1102" spans="31:32" ht="18" customHeight="1">
      <c r="AE1102" s="583"/>
      <c r="AF1102" s="583"/>
    </row>
    <row r="1103" spans="31:32" ht="18" customHeight="1">
      <c r="AE1103" s="583"/>
      <c r="AF1103" s="583"/>
    </row>
    <row r="1104" spans="31:32" ht="18" customHeight="1">
      <c r="AE1104" s="583"/>
      <c r="AF1104" s="583"/>
    </row>
    <row r="1105" spans="31:32" ht="18" customHeight="1">
      <c r="AE1105" s="583"/>
      <c r="AF1105" s="583"/>
    </row>
    <row r="1106" spans="31:32" ht="18" customHeight="1">
      <c r="AE1106" s="583"/>
      <c r="AF1106" s="583"/>
    </row>
    <row r="1107" spans="31:32" ht="18" customHeight="1">
      <c r="AE1107" s="583"/>
      <c r="AF1107" s="583"/>
    </row>
    <row r="1108" spans="31:32" ht="18" customHeight="1">
      <c r="AE1108" s="583"/>
      <c r="AF1108" s="583"/>
    </row>
    <row r="1109" spans="31:32" ht="18" customHeight="1">
      <c r="AE1109" s="583"/>
      <c r="AF1109" s="583"/>
    </row>
    <row r="1110" spans="31:32" ht="18" customHeight="1">
      <c r="AE1110" s="583"/>
      <c r="AF1110" s="583"/>
    </row>
    <row r="1111" spans="31:32" ht="18" customHeight="1">
      <c r="AE1111" s="583"/>
      <c r="AF1111" s="583"/>
    </row>
    <row r="1112" spans="31:32" ht="18" customHeight="1">
      <c r="AE1112" s="583"/>
      <c r="AF1112" s="583"/>
    </row>
    <row r="1113" spans="31:32" ht="18" customHeight="1">
      <c r="AE1113" s="583"/>
      <c r="AF1113" s="583"/>
    </row>
    <row r="1114" spans="31:32" ht="18" customHeight="1">
      <c r="AE1114" s="583"/>
      <c r="AF1114" s="583"/>
    </row>
    <row r="1115" spans="31:32" ht="18" customHeight="1">
      <c r="AE1115" s="583"/>
      <c r="AF1115" s="583"/>
    </row>
    <row r="1116" spans="31:32" ht="18" customHeight="1">
      <c r="AE1116" s="583"/>
      <c r="AF1116" s="583"/>
    </row>
    <row r="1117" spans="31:32" ht="18" customHeight="1">
      <c r="AE1117" s="583"/>
      <c r="AF1117" s="583"/>
    </row>
    <row r="1118" spans="31:32" ht="18" customHeight="1">
      <c r="AE1118" s="583"/>
      <c r="AF1118" s="583"/>
    </row>
    <row r="1119" spans="31:32" ht="18" customHeight="1">
      <c r="AE1119" s="583"/>
      <c r="AF1119" s="583"/>
    </row>
    <row r="1120" spans="31:32" ht="18" customHeight="1">
      <c r="AE1120" s="583"/>
      <c r="AF1120" s="583"/>
    </row>
    <row r="1121" spans="31:32" ht="18" customHeight="1">
      <c r="AE1121" s="583"/>
      <c r="AF1121" s="583"/>
    </row>
    <row r="1122" spans="31:32" ht="18" customHeight="1">
      <c r="AE1122" s="583"/>
      <c r="AF1122" s="583"/>
    </row>
    <row r="1123" spans="31:32" ht="18" customHeight="1">
      <c r="AE1123" s="583"/>
      <c r="AF1123" s="583"/>
    </row>
    <row r="1124" spans="31:32" ht="18" customHeight="1">
      <c r="AE1124" s="583"/>
      <c r="AF1124" s="583"/>
    </row>
    <row r="1125" spans="31:32" ht="18" customHeight="1">
      <c r="AE1125" s="583"/>
      <c r="AF1125" s="583"/>
    </row>
    <row r="1126" spans="31:32" ht="18" customHeight="1">
      <c r="AE1126" s="583"/>
      <c r="AF1126" s="583"/>
    </row>
    <row r="1127" spans="31:32" ht="18" customHeight="1">
      <c r="AE1127" s="583"/>
      <c r="AF1127" s="583"/>
    </row>
    <row r="1128" spans="31:32" ht="18" customHeight="1">
      <c r="AE1128" s="583"/>
      <c r="AF1128" s="583"/>
    </row>
    <row r="1129" spans="31:32" ht="18" customHeight="1">
      <c r="AE1129" s="583"/>
      <c r="AF1129" s="583"/>
    </row>
    <row r="1130" spans="31:32" ht="18" customHeight="1">
      <c r="AE1130" s="583"/>
      <c r="AF1130" s="583"/>
    </row>
    <row r="1131" spans="31:32" ht="18" customHeight="1">
      <c r="AE1131" s="583"/>
      <c r="AF1131" s="583"/>
    </row>
    <row r="1132" spans="31:32" ht="18" customHeight="1">
      <c r="AE1132" s="583"/>
      <c r="AF1132" s="583"/>
    </row>
    <row r="1133" spans="31:32" ht="18" customHeight="1">
      <c r="AE1133" s="583"/>
      <c r="AF1133" s="583"/>
    </row>
    <row r="1134" spans="31:32" ht="18" customHeight="1">
      <c r="AE1134" s="583"/>
      <c r="AF1134" s="583"/>
    </row>
    <row r="1135" spans="31:32" ht="18" customHeight="1">
      <c r="AE1135" s="583"/>
      <c r="AF1135" s="583"/>
    </row>
    <row r="1136" spans="31:32" ht="18" customHeight="1">
      <c r="AE1136" s="583"/>
      <c r="AF1136" s="583"/>
    </row>
    <row r="1137" spans="31:32" ht="18" customHeight="1">
      <c r="AE1137" s="583"/>
      <c r="AF1137" s="583"/>
    </row>
    <row r="1138" spans="31:32" ht="18" customHeight="1">
      <c r="AE1138" s="583"/>
      <c r="AF1138" s="583"/>
    </row>
    <row r="1139" spans="31:32" ht="18" customHeight="1">
      <c r="AE1139" s="583"/>
      <c r="AF1139" s="583"/>
    </row>
    <row r="1140" spans="31:32" ht="18" customHeight="1">
      <c r="AE1140" s="583"/>
      <c r="AF1140" s="583"/>
    </row>
    <row r="1141" spans="31:32" ht="18" customHeight="1">
      <c r="AE1141" s="583"/>
      <c r="AF1141" s="583"/>
    </row>
    <row r="1142" spans="31:32" ht="18" customHeight="1">
      <c r="AE1142" s="583"/>
      <c r="AF1142" s="583"/>
    </row>
    <row r="1143" spans="31:32" ht="18" customHeight="1">
      <c r="AE1143" s="583"/>
      <c r="AF1143" s="583"/>
    </row>
    <row r="1144" spans="31:32" ht="18" customHeight="1">
      <c r="AE1144" s="583"/>
      <c r="AF1144" s="583"/>
    </row>
    <row r="1145" spans="31:32" ht="18" customHeight="1">
      <c r="AE1145" s="583"/>
      <c r="AF1145" s="583"/>
    </row>
    <row r="1146" spans="31:32" ht="18" customHeight="1">
      <c r="AE1146" s="583"/>
      <c r="AF1146" s="583"/>
    </row>
    <row r="1147" spans="31:32" ht="18" customHeight="1">
      <c r="AE1147" s="583"/>
      <c r="AF1147" s="583"/>
    </row>
    <row r="1148" spans="31:32" ht="18" customHeight="1">
      <c r="AE1148" s="583"/>
      <c r="AF1148" s="583"/>
    </row>
    <row r="1149" spans="31:32" ht="18" customHeight="1">
      <c r="AE1149" s="583"/>
      <c r="AF1149" s="583"/>
    </row>
    <row r="1150" spans="31:32" ht="18" customHeight="1">
      <c r="AE1150" s="583"/>
      <c r="AF1150" s="583"/>
    </row>
    <row r="1151" spans="31:32" ht="18" customHeight="1">
      <c r="AE1151" s="583"/>
      <c r="AF1151" s="583"/>
    </row>
    <row r="1152" spans="31:32" ht="18" customHeight="1">
      <c r="AE1152" s="583"/>
      <c r="AF1152" s="583"/>
    </row>
    <row r="1153" spans="31:32" ht="18" customHeight="1">
      <c r="AE1153" s="583"/>
      <c r="AF1153" s="583"/>
    </row>
    <row r="1154" spans="31:32" ht="18" customHeight="1">
      <c r="AE1154" s="583"/>
      <c r="AF1154" s="583"/>
    </row>
    <row r="1155" spans="31:32" ht="18" customHeight="1">
      <c r="AE1155" s="583"/>
      <c r="AF1155" s="583"/>
    </row>
    <row r="1156" spans="31:32" ht="18" customHeight="1">
      <c r="AE1156" s="583"/>
      <c r="AF1156" s="583"/>
    </row>
    <row r="1157" spans="31:32" ht="18" customHeight="1">
      <c r="AE1157" s="583"/>
      <c r="AF1157" s="583"/>
    </row>
    <row r="1158" spans="31:32" ht="18" customHeight="1">
      <c r="AE1158" s="583"/>
      <c r="AF1158" s="583"/>
    </row>
    <row r="1159" spans="31:32" ht="18" customHeight="1">
      <c r="AE1159" s="583"/>
      <c r="AF1159" s="583"/>
    </row>
    <row r="1160" spans="31:32" ht="18" customHeight="1">
      <c r="AE1160" s="583"/>
      <c r="AF1160" s="583"/>
    </row>
    <row r="1161" spans="31:32" ht="18" customHeight="1">
      <c r="AE1161" s="583"/>
      <c r="AF1161" s="583"/>
    </row>
    <row r="1162" spans="31:32" ht="18" customHeight="1">
      <c r="AE1162" s="583"/>
      <c r="AF1162" s="583"/>
    </row>
    <row r="1163" spans="31:32" ht="18" customHeight="1">
      <c r="AE1163" s="583"/>
      <c r="AF1163" s="583"/>
    </row>
    <row r="1164" spans="31:32" ht="18" customHeight="1">
      <c r="AE1164" s="583"/>
      <c r="AF1164" s="583"/>
    </row>
    <row r="1165" spans="31:32" ht="18" customHeight="1">
      <c r="AE1165" s="583"/>
      <c r="AF1165" s="583"/>
    </row>
    <row r="1166" spans="31:32" ht="18" customHeight="1">
      <c r="AE1166" s="583"/>
      <c r="AF1166" s="583"/>
    </row>
    <row r="1167" spans="31:32" ht="18" customHeight="1">
      <c r="AE1167" s="583"/>
      <c r="AF1167" s="583"/>
    </row>
    <row r="1168" spans="31:32" ht="18" customHeight="1">
      <c r="AE1168" s="583"/>
      <c r="AF1168" s="583"/>
    </row>
    <row r="1169" spans="31:32" ht="18" customHeight="1">
      <c r="AE1169" s="583"/>
      <c r="AF1169" s="583"/>
    </row>
    <row r="1170" spans="31:32" ht="18" customHeight="1">
      <c r="AE1170" s="583"/>
      <c r="AF1170" s="583"/>
    </row>
    <row r="1171" spans="31:32" ht="18" customHeight="1">
      <c r="AE1171" s="583"/>
      <c r="AF1171" s="583"/>
    </row>
    <row r="1172" spans="31:32" ht="18" customHeight="1">
      <c r="AE1172" s="583"/>
      <c r="AF1172" s="583"/>
    </row>
    <row r="1173" spans="31:32" ht="18" customHeight="1">
      <c r="AE1173" s="583"/>
      <c r="AF1173" s="583"/>
    </row>
    <row r="1174" spans="31:32" ht="18" customHeight="1">
      <c r="AE1174" s="583"/>
      <c r="AF1174" s="583"/>
    </row>
    <row r="1175" spans="31:32" ht="18" customHeight="1">
      <c r="AE1175" s="583"/>
      <c r="AF1175" s="583"/>
    </row>
    <row r="1176" spans="31:32" ht="18" customHeight="1">
      <c r="AE1176" s="583"/>
      <c r="AF1176" s="583"/>
    </row>
    <row r="1177" spans="31:32" ht="18" customHeight="1">
      <c r="AE1177" s="583"/>
      <c r="AF1177" s="583"/>
    </row>
    <row r="1178" spans="31:32" ht="18" customHeight="1">
      <c r="AE1178" s="583"/>
      <c r="AF1178" s="583"/>
    </row>
    <row r="1179" spans="31:32" ht="18" customHeight="1">
      <c r="AE1179" s="583"/>
      <c r="AF1179" s="583"/>
    </row>
    <row r="1180" spans="31:32" ht="18" customHeight="1">
      <c r="AE1180" s="583"/>
      <c r="AF1180" s="583"/>
    </row>
    <row r="1181" spans="31:32" ht="18" customHeight="1">
      <c r="AE1181" s="583"/>
      <c r="AF1181" s="583"/>
    </row>
    <row r="1182" spans="31:32" ht="18" customHeight="1">
      <c r="AE1182" s="583"/>
      <c r="AF1182" s="583"/>
    </row>
    <row r="1183" spans="31:32" ht="18" customHeight="1">
      <c r="AE1183" s="583"/>
      <c r="AF1183" s="583"/>
    </row>
    <row r="1184" spans="31:32" ht="18" customHeight="1">
      <c r="AE1184" s="583"/>
      <c r="AF1184" s="583"/>
    </row>
    <row r="1185" spans="31:32" ht="18" customHeight="1">
      <c r="AE1185" s="583"/>
      <c r="AF1185" s="583"/>
    </row>
    <row r="1186" spans="31:32" ht="18" customHeight="1">
      <c r="AE1186" s="583"/>
      <c r="AF1186" s="583"/>
    </row>
    <row r="1187" spans="31:32" ht="18" customHeight="1">
      <c r="AE1187" s="583"/>
      <c r="AF1187" s="583"/>
    </row>
    <row r="1188" spans="31:32" ht="18" customHeight="1">
      <c r="AE1188" s="583"/>
      <c r="AF1188" s="583"/>
    </row>
    <row r="1189" spans="31:32" ht="18" customHeight="1">
      <c r="AE1189" s="583"/>
      <c r="AF1189" s="583"/>
    </row>
    <row r="1190" spans="31:32" ht="18" customHeight="1">
      <c r="AE1190" s="583"/>
      <c r="AF1190" s="583"/>
    </row>
    <row r="1191" spans="31:32" ht="18" customHeight="1">
      <c r="AE1191" s="583"/>
      <c r="AF1191" s="583"/>
    </row>
    <row r="1192" spans="31:32" ht="18" customHeight="1">
      <c r="AE1192" s="583"/>
      <c r="AF1192" s="583"/>
    </row>
    <row r="1193" spans="31:32" ht="18" customHeight="1">
      <c r="AE1193" s="583"/>
      <c r="AF1193" s="583"/>
    </row>
    <row r="1194" spans="31:32" ht="18" customHeight="1">
      <c r="AE1194" s="583"/>
      <c r="AF1194" s="583"/>
    </row>
    <row r="1195" spans="31:32" ht="18" customHeight="1">
      <c r="AE1195" s="583"/>
      <c r="AF1195" s="583"/>
    </row>
    <row r="1196" spans="31:32" ht="18" customHeight="1">
      <c r="AE1196" s="583"/>
      <c r="AF1196" s="583"/>
    </row>
    <row r="1197" spans="31:32" ht="18" customHeight="1">
      <c r="AE1197" s="583"/>
      <c r="AF1197" s="583"/>
    </row>
    <row r="1198" spans="31:32" ht="18" customHeight="1">
      <c r="AE1198" s="583"/>
      <c r="AF1198" s="583"/>
    </row>
    <row r="1199" spans="31:32" ht="18" customHeight="1">
      <c r="AE1199" s="583"/>
      <c r="AF1199" s="583"/>
    </row>
    <row r="1200" spans="31:32" ht="18" customHeight="1">
      <c r="AE1200" s="583"/>
      <c r="AF1200" s="583"/>
    </row>
    <row r="1201" spans="31:32" ht="18" customHeight="1">
      <c r="AE1201" s="583"/>
      <c r="AF1201" s="583"/>
    </row>
    <row r="1202" spans="31:32" ht="18" customHeight="1">
      <c r="AE1202" s="583"/>
      <c r="AF1202" s="583"/>
    </row>
    <row r="1203" spans="31:32" ht="18" customHeight="1">
      <c r="AE1203" s="583"/>
      <c r="AF1203" s="583"/>
    </row>
    <row r="1204" spans="31:32" ht="18" customHeight="1">
      <c r="AE1204" s="583"/>
      <c r="AF1204" s="583"/>
    </row>
    <row r="1205" spans="31:32" ht="18" customHeight="1">
      <c r="AE1205" s="583"/>
      <c r="AF1205" s="583"/>
    </row>
    <row r="1206" spans="31:32" ht="18" customHeight="1">
      <c r="AE1206" s="583"/>
      <c r="AF1206" s="583"/>
    </row>
    <row r="1207" spans="31:32" ht="18" customHeight="1">
      <c r="AE1207" s="583"/>
      <c r="AF1207" s="583"/>
    </row>
    <row r="1208" spans="31:32" ht="18" customHeight="1">
      <c r="AE1208" s="583"/>
      <c r="AF1208" s="583"/>
    </row>
    <row r="1209" spans="31:32" ht="18" customHeight="1">
      <c r="AE1209" s="583"/>
      <c r="AF1209" s="583"/>
    </row>
    <row r="1210" spans="31:32" ht="18" customHeight="1">
      <c r="AE1210" s="583"/>
      <c r="AF1210" s="583"/>
    </row>
    <row r="1211" spans="31:32" ht="18" customHeight="1">
      <c r="AE1211" s="583"/>
      <c r="AF1211" s="583"/>
    </row>
    <row r="1212" spans="31:32" ht="18" customHeight="1">
      <c r="AE1212" s="583"/>
      <c r="AF1212" s="583"/>
    </row>
    <row r="1213" spans="31:32" ht="18" customHeight="1">
      <c r="AE1213" s="583"/>
      <c r="AF1213" s="583"/>
    </row>
    <row r="1214" spans="31:32" ht="18" customHeight="1">
      <c r="AE1214" s="583"/>
      <c r="AF1214" s="583"/>
    </row>
    <row r="1215" spans="31:32" ht="18" customHeight="1">
      <c r="AE1215" s="583"/>
      <c r="AF1215" s="583"/>
    </row>
    <row r="1216" spans="31:32" ht="18" customHeight="1">
      <c r="AE1216" s="583"/>
      <c r="AF1216" s="583"/>
    </row>
    <row r="1217" spans="31:32" ht="18" customHeight="1">
      <c r="AE1217" s="583"/>
      <c r="AF1217" s="583"/>
    </row>
    <row r="1218" spans="31:32" ht="18" customHeight="1">
      <c r="AE1218" s="583"/>
      <c r="AF1218" s="583"/>
    </row>
    <row r="1219" spans="31:32" ht="18" customHeight="1">
      <c r="AE1219" s="583"/>
      <c r="AF1219" s="583"/>
    </row>
    <row r="1220" spans="31:32" ht="18" customHeight="1">
      <c r="AE1220" s="583"/>
      <c r="AF1220" s="583"/>
    </row>
    <row r="1221" spans="31:32" ht="18" customHeight="1">
      <c r="AE1221" s="583"/>
      <c r="AF1221" s="583"/>
    </row>
    <row r="1222" spans="31:32" ht="18" customHeight="1">
      <c r="AE1222" s="583"/>
      <c r="AF1222" s="583"/>
    </row>
    <row r="1223" spans="31:32" ht="18" customHeight="1">
      <c r="AE1223" s="583"/>
      <c r="AF1223" s="583"/>
    </row>
    <row r="1224" spans="31:32" ht="18" customHeight="1">
      <c r="AE1224" s="583"/>
      <c r="AF1224" s="583"/>
    </row>
    <row r="1225" spans="31:32" ht="18" customHeight="1">
      <c r="AE1225" s="583"/>
      <c r="AF1225" s="583"/>
    </row>
    <row r="1226" spans="31:32" ht="18" customHeight="1">
      <c r="AE1226" s="583"/>
      <c r="AF1226" s="583"/>
    </row>
    <row r="1227" spans="31:32" ht="18" customHeight="1">
      <c r="AE1227" s="583"/>
      <c r="AF1227" s="583"/>
    </row>
    <row r="1228" spans="31:32" ht="18" customHeight="1">
      <c r="AE1228" s="583"/>
      <c r="AF1228" s="583"/>
    </row>
    <row r="1229" spans="31:32" ht="18" customHeight="1">
      <c r="AE1229" s="583"/>
      <c r="AF1229" s="583"/>
    </row>
    <row r="1230" spans="31:32" ht="18" customHeight="1">
      <c r="AE1230" s="583"/>
      <c r="AF1230" s="583"/>
    </row>
    <row r="1231" spans="31:32" ht="18" customHeight="1">
      <c r="AE1231" s="583"/>
      <c r="AF1231" s="583"/>
    </row>
    <row r="1232" spans="31:32" ht="18" customHeight="1">
      <c r="AE1232" s="583"/>
      <c r="AF1232" s="583"/>
    </row>
    <row r="1233" spans="31:32" ht="18" customHeight="1">
      <c r="AE1233" s="583"/>
      <c r="AF1233" s="583"/>
    </row>
    <row r="1234" spans="31:32" ht="18" customHeight="1">
      <c r="AE1234" s="583"/>
      <c r="AF1234" s="583"/>
    </row>
    <row r="1235" spans="31:32" ht="18" customHeight="1">
      <c r="AE1235" s="583"/>
      <c r="AF1235" s="583"/>
    </row>
    <row r="1236" spans="31:32" ht="18" customHeight="1">
      <c r="AE1236" s="583"/>
      <c r="AF1236" s="583"/>
    </row>
    <row r="1237" spans="31:32" ht="18" customHeight="1">
      <c r="AE1237" s="583"/>
      <c r="AF1237" s="583"/>
    </row>
    <row r="1238" spans="31:32" ht="18" customHeight="1">
      <c r="AE1238" s="583"/>
      <c r="AF1238" s="583"/>
    </row>
    <row r="1239" spans="31:32" ht="18" customHeight="1">
      <c r="AE1239" s="583"/>
      <c r="AF1239" s="583"/>
    </row>
    <row r="1240" spans="31:32" ht="18" customHeight="1">
      <c r="AE1240" s="583"/>
      <c r="AF1240" s="583"/>
    </row>
    <row r="1241" spans="31:32" ht="18" customHeight="1">
      <c r="AE1241" s="583"/>
      <c r="AF1241" s="583"/>
    </row>
    <row r="1242" spans="31:32" ht="18" customHeight="1">
      <c r="AE1242" s="583"/>
      <c r="AF1242" s="583"/>
    </row>
    <row r="1243" spans="31:32" ht="18" customHeight="1">
      <c r="AE1243" s="583"/>
      <c r="AF1243" s="583"/>
    </row>
    <row r="1244" spans="31:32" ht="18" customHeight="1">
      <c r="AE1244" s="583"/>
      <c r="AF1244" s="583"/>
    </row>
    <row r="1245" spans="31:32" ht="18" customHeight="1">
      <c r="AE1245" s="583"/>
      <c r="AF1245" s="583"/>
    </row>
    <row r="1246" spans="31:32" ht="18" customHeight="1">
      <c r="AE1246" s="583"/>
      <c r="AF1246" s="583"/>
    </row>
    <row r="1247" spans="31:32" ht="18" customHeight="1">
      <c r="AE1247" s="583"/>
      <c r="AF1247" s="583"/>
    </row>
    <row r="1248" spans="31:32" ht="18" customHeight="1">
      <c r="AE1248" s="583"/>
      <c r="AF1248" s="583"/>
    </row>
    <row r="1249" spans="31:32" ht="18" customHeight="1">
      <c r="AE1249" s="583"/>
      <c r="AF1249" s="583"/>
    </row>
    <row r="1250" spans="31:32" ht="18" customHeight="1">
      <c r="AE1250" s="583"/>
      <c r="AF1250" s="583"/>
    </row>
    <row r="1251" spans="31:32" ht="18" customHeight="1">
      <c r="AE1251" s="583"/>
      <c r="AF1251" s="583"/>
    </row>
    <row r="1252" spans="31:32" ht="18" customHeight="1">
      <c r="AE1252" s="583"/>
      <c r="AF1252" s="583"/>
    </row>
    <row r="1253" spans="31:32" ht="18" customHeight="1">
      <c r="AE1253" s="583"/>
      <c r="AF1253" s="583"/>
    </row>
    <row r="1254" spans="31:32" ht="18" customHeight="1">
      <c r="AE1254" s="583"/>
      <c r="AF1254" s="583"/>
    </row>
    <row r="1255" spans="31:32" ht="18" customHeight="1">
      <c r="AE1255" s="583"/>
      <c r="AF1255" s="583"/>
    </row>
    <row r="1256" spans="31:32" ht="18" customHeight="1">
      <c r="AE1256" s="583"/>
      <c r="AF1256" s="583"/>
    </row>
    <row r="1257" spans="31:32" ht="18" customHeight="1">
      <c r="AE1257" s="583"/>
      <c r="AF1257" s="583"/>
    </row>
    <row r="1258" spans="31:32" ht="18" customHeight="1">
      <c r="AE1258" s="583"/>
      <c r="AF1258" s="583"/>
    </row>
    <row r="1259" spans="31:32" ht="18" customHeight="1">
      <c r="AE1259" s="583"/>
      <c r="AF1259" s="583"/>
    </row>
    <row r="1260" spans="31:32" ht="18" customHeight="1">
      <c r="AE1260" s="583"/>
      <c r="AF1260" s="583"/>
    </row>
    <row r="1261" spans="31:32" ht="18" customHeight="1">
      <c r="AE1261" s="583"/>
      <c r="AF1261" s="583"/>
    </row>
    <row r="1262" spans="31:32" ht="18" customHeight="1">
      <c r="AE1262" s="583"/>
      <c r="AF1262" s="583"/>
    </row>
    <row r="1263" spans="31:32" ht="18" customHeight="1">
      <c r="AE1263" s="583"/>
      <c r="AF1263" s="583"/>
    </row>
    <row r="1264" spans="31:32" ht="18" customHeight="1">
      <c r="AE1264" s="583"/>
      <c r="AF1264" s="583"/>
    </row>
    <row r="1265" spans="31:32" ht="18" customHeight="1">
      <c r="AE1265" s="583"/>
      <c r="AF1265" s="583"/>
    </row>
    <row r="1266" spans="31:32" ht="18" customHeight="1">
      <c r="AE1266" s="583"/>
      <c r="AF1266" s="583"/>
    </row>
    <row r="1267" spans="31:32" ht="18" customHeight="1">
      <c r="AE1267" s="583"/>
      <c r="AF1267" s="583"/>
    </row>
    <row r="1268" spans="31:32" ht="18" customHeight="1">
      <c r="AE1268" s="583"/>
      <c r="AF1268" s="583"/>
    </row>
    <row r="1269" spans="31:32" ht="18" customHeight="1">
      <c r="AE1269" s="583"/>
      <c r="AF1269" s="583"/>
    </row>
    <row r="1270" spans="31:32" ht="18" customHeight="1">
      <c r="AE1270" s="583"/>
      <c r="AF1270" s="583"/>
    </row>
    <row r="1271" spans="31:32" ht="18" customHeight="1">
      <c r="AE1271" s="583"/>
      <c r="AF1271" s="583"/>
    </row>
    <row r="1272" spans="31:32" ht="18" customHeight="1">
      <c r="AE1272" s="583"/>
      <c r="AF1272" s="583"/>
    </row>
    <row r="1273" spans="31:32" ht="18" customHeight="1">
      <c r="AE1273" s="583"/>
      <c r="AF1273" s="583"/>
    </row>
    <row r="1274" spans="31:32" ht="18" customHeight="1">
      <c r="AE1274" s="583"/>
      <c r="AF1274" s="583"/>
    </row>
    <row r="1275" spans="31:32" ht="18" customHeight="1">
      <c r="AE1275" s="583"/>
      <c r="AF1275" s="583"/>
    </row>
    <row r="1276" spans="31:32" ht="18" customHeight="1">
      <c r="AE1276" s="583"/>
      <c r="AF1276" s="583"/>
    </row>
    <row r="1277" spans="31:32" ht="18" customHeight="1">
      <c r="AE1277" s="583"/>
      <c r="AF1277" s="583"/>
    </row>
    <row r="1278" spans="31:32" ht="18" customHeight="1">
      <c r="AE1278" s="583"/>
      <c r="AF1278" s="583"/>
    </row>
    <row r="1279" spans="31:32" ht="18" customHeight="1">
      <c r="AE1279" s="583"/>
      <c r="AF1279" s="583"/>
    </row>
    <row r="1280" spans="31:32" ht="18" customHeight="1">
      <c r="AE1280" s="583"/>
      <c r="AF1280" s="583"/>
    </row>
    <row r="1281" spans="31:32" ht="18" customHeight="1">
      <c r="AE1281" s="583"/>
      <c r="AF1281" s="583"/>
    </row>
    <row r="1282" spans="31:32" ht="18" customHeight="1">
      <c r="AE1282" s="583"/>
      <c r="AF1282" s="583"/>
    </row>
    <row r="1283" spans="31:32" ht="18" customHeight="1">
      <c r="AE1283" s="583"/>
      <c r="AF1283" s="583"/>
    </row>
    <row r="1284" spans="31:32" ht="18" customHeight="1">
      <c r="AE1284" s="583"/>
      <c r="AF1284" s="583"/>
    </row>
    <row r="1285" spans="31:32" ht="18" customHeight="1">
      <c r="AE1285" s="583"/>
      <c r="AF1285" s="583"/>
    </row>
    <row r="1286" spans="31:32" ht="18" customHeight="1">
      <c r="AE1286" s="583"/>
      <c r="AF1286" s="583"/>
    </row>
    <row r="1287" spans="31:32" ht="18" customHeight="1">
      <c r="AE1287" s="583"/>
      <c r="AF1287" s="583"/>
    </row>
    <row r="1288" spans="31:32" ht="18" customHeight="1">
      <c r="AE1288" s="583"/>
      <c r="AF1288" s="583"/>
    </row>
    <row r="1289" spans="31:32" ht="18" customHeight="1">
      <c r="AE1289" s="583"/>
      <c r="AF1289" s="583"/>
    </row>
    <row r="1290" spans="31:32" ht="18" customHeight="1">
      <c r="AE1290" s="583"/>
      <c r="AF1290" s="583"/>
    </row>
    <row r="1291" spans="31:32" ht="18" customHeight="1">
      <c r="AE1291" s="583"/>
      <c r="AF1291" s="583"/>
    </row>
    <row r="1292" spans="31:32" ht="18" customHeight="1">
      <c r="AE1292" s="583"/>
      <c r="AF1292" s="583"/>
    </row>
    <row r="1293" spans="31:32" ht="18" customHeight="1">
      <c r="AE1293" s="583"/>
      <c r="AF1293" s="583"/>
    </row>
    <row r="1294" spans="31:32" ht="18" customHeight="1">
      <c r="AE1294" s="583"/>
      <c r="AF1294" s="583"/>
    </row>
    <row r="1295" spans="31:32" ht="18" customHeight="1">
      <c r="AE1295" s="583"/>
      <c r="AF1295" s="583"/>
    </row>
    <row r="1296" spans="31:32" ht="18" customHeight="1">
      <c r="AE1296" s="583"/>
      <c r="AF1296" s="583"/>
    </row>
    <row r="1297" spans="31:32" ht="18" customHeight="1">
      <c r="AE1297" s="583"/>
      <c r="AF1297" s="583"/>
    </row>
    <row r="1298" spans="31:32" ht="18" customHeight="1">
      <c r="AE1298" s="583"/>
      <c r="AF1298" s="583"/>
    </row>
    <row r="1299" spans="31:32" ht="18" customHeight="1">
      <c r="AE1299" s="583"/>
      <c r="AF1299" s="583"/>
    </row>
    <row r="1300" spans="31:32" ht="18" customHeight="1">
      <c r="AE1300" s="583"/>
      <c r="AF1300" s="583"/>
    </row>
    <row r="1301" spans="31:32" ht="18" customHeight="1">
      <c r="AE1301" s="583"/>
      <c r="AF1301" s="583"/>
    </row>
    <row r="1302" spans="31:32" ht="18" customHeight="1">
      <c r="AE1302" s="583"/>
      <c r="AF1302" s="583"/>
    </row>
    <row r="1303" spans="31:32" ht="18" customHeight="1">
      <c r="AE1303" s="583"/>
      <c r="AF1303" s="583"/>
    </row>
    <row r="1304" spans="31:32" ht="18" customHeight="1">
      <c r="AE1304" s="583"/>
      <c r="AF1304" s="583"/>
    </row>
    <row r="1305" spans="31:32" ht="18" customHeight="1">
      <c r="AE1305" s="583"/>
      <c r="AF1305" s="583"/>
    </row>
    <row r="1306" spans="31:32" ht="18" customHeight="1">
      <c r="AE1306" s="583"/>
      <c r="AF1306" s="583"/>
    </row>
    <row r="1307" spans="31:32" ht="18" customHeight="1">
      <c r="AE1307" s="583"/>
      <c r="AF1307" s="583"/>
    </row>
    <row r="1308" spans="31:32" ht="18" customHeight="1">
      <c r="AE1308" s="583"/>
      <c r="AF1308" s="583"/>
    </row>
    <row r="1309" spans="31:32" ht="18" customHeight="1">
      <c r="AE1309" s="583"/>
      <c r="AF1309" s="583"/>
    </row>
    <row r="1310" spans="31:32" ht="18" customHeight="1">
      <c r="AE1310" s="583"/>
      <c r="AF1310" s="583"/>
    </row>
    <row r="1311" spans="31:32" ht="18" customHeight="1">
      <c r="AE1311" s="583"/>
      <c r="AF1311" s="583"/>
    </row>
    <row r="1312" spans="31:32" ht="18" customHeight="1">
      <c r="AE1312" s="583"/>
      <c r="AF1312" s="583"/>
    </row>
    <row r="1313" spans="31:32" ht="18" customHeight="1">
      <c r="AE1313" s="583"/>
      <c r="AF1313" s="583"/>
    </row>
    <row r="1314" spans="31:32" ht="18" customHeight="1">
      <c r="AE1314" s="583"/>
      <c r="AF1314" s="583"/>
    </row>
    <row r="1315" spans="31:32" ht="18" customHeight="1">
      <c r="AE1315" s="583"/>
      <c r="AF1315" s="583"/>
    </row>
    <row r="1316" spans="31:32" ht="18" customHeight="1">
      <c r="AE1316" s="583"/>
      <c r="AF1316" s="583"/>
    </row>
    <row r="1317" spans="31:32" ht="18" customHeight="1">
      <c r="AE1317" s="583"/>
      <c r="AF1317" s="583"/>
    </row>
    <row r="1318" spans="31:32" ht="18" customHeight="1">
      <c r="AE1318" s="583"/>
      <c r="AF1318" s="583"/>
    </row>
    <row r="1319" spans="31:32" ht="18" customHeight="1">
      <c r="AE1319" s="583"/>
      <c r="AF1319" s="583"/>
    </row>
    <row r="1320" spans="31:32" ht="18" customHeight="1">
      <c r="AE1320" s="583"/>
      <c r="AF1320" s="583"/>
    </row>
    <row r="1321" spans="31:32" ht="18" customHeight="1">
      <c r="AE1321" s="583"/>
      <c r="AF1321" s="583"/>
    </row>
    <row r="1322" spans="31:32" ht="18" customHeight="1">
      <c r="AE1322" s="583"/>
      <c r="AF1322" s="583"/>
    </row>
    <row r="1323" spans="31:32" ht="18" customHeight="1">
      <c r="AE1323" s="583"/>
      <c r="AF1323" s="583"/>
    </row>
    <row r="1324" spans="31:32" ht="18" customHeight="1">
      <c r="AE1324" s="583"/>
      <c r="AF1324" s="583"/>
    </row>
    <row r="1325" spans="31:32" ht="18" customHeight="1">
      <c r="AE1325" s="583"/>
      <c r="AF1325" s="583"/>
    </row>
    <row r="1326" spans="31:32" ht="18" customHeight="1">
      <c r="AE1326" s="583"/>
      <c r="AF1326" s="583"/>
    </row>
    <row r="1327" spans="31:32" ht="18" customHeight="1">
      <c r="AE1327" s="583"/>
      <c r="AF1327" s="583"/>
    </row>
    <row r="1328" spans="31:32" ht="18" customHeight="1">
      <c r="AE1328" s="583"/>
      <c r="AF1328" s="583"/>
    </row>
    <row r="1329" spans="31:32" ht="18" customHeight="1">
      <c r="AE1329" s="583"/>
      <c r="AF1329" s="583"/>
    </row>
    <row r="1330" spans="31:32" ht="18" customHeight="1">
      <c r="AE1330" s="583"/>
      <c r="AF1330" s="583"/>
    </row>
    <row r="1331" spans="31:32" ht="18" customHeight="1">
      <c r="AE1331" s="583"/>
      <c r="AF1331" s="583"/>
    </row>
    <row r="1332" spans="31:32" ht="18" customHeight="1">
      <c r="AE1332" s="583"/>
      <c r="AF1332" s="583"/>
    </row>
    <row r="1333" spans="31:32" ht="18" customHeight="1">
      <c r="AE1333" s="583"/>
      <c r="AF1333" s="583"/>
    </row>
    <row r="1334" spans="31:32" ht="18" customHeight="1">
      <c r="AE1334" s="583"/>
      <c r="AF1334" s="583"/>
    </row>
    <row r="1335" spans="31:32" ht="18" customHeight="1">
      <c r="AE1335" s="583"/>
      <c r="AF1335" s="583"/>
    </row>
    <row r="1336" spans="31:32" ht="18" customHeight="1">
      <c r="AE1336" s="583"/>
      <c r="AF1336" s="583"/>
    </row>
    <row r="1337" spans="31:32" ht="18" customHeight="1">
      <c r="AE1337" s="583"/>
      <c r="AF1337" s="583"/>
    </row>
    <row r="1338" spans="31:32" ht="18" customHeight="1">
      <c r="AE1338" s="583"/>
      <c r="AF1338" s="583"/>
    </row>
    <row r="1339" spans="31:32" ht="18" customHeight="1">
      <c r="AE1339" s="583"/>
      <c r="AF1339" s="583"/>
    </row>
    <row r="1340" spans="31:32" ht="18" customHeight="1">
      <c r="AE1340" s="583"/>
      <c r="AF1340" s="583"/>
    </row>
    <row r="1341" spans="31:32" ht="18" customHeight="1">
      <c r="AE1341" s="583"/>
      <c r="AF1341" s="583"/>
    </row>
    <row r="1342" spans="31:32" ht="18" customHeight="1">
      <c r="AE1342" s="583"/>
      <c r="AF1342" s="583"/>
    </row>
    <row r="1343" spans="31:32" ht="18" customHeight="1">
      <c r="AE1343" s="583"/>
      <c r="AF1343" s="583"/>
    </row>
    <row r="1344" spans="31:32" ht="18" customHeight="1">
      <c r="AE1344" s="583"/>
      <c r="AF1344" s="583"/>
    </row>
    <row r="1345" spans="31:32" ht="18" customHeight="1">
      <c r="AE1345" s="583"/>
      <c r="AF1345" s="583"/>
    </row>
    <row r="1346" spans="31:32" ht="18" customHeight="1">
      <c r="AE1346" s="583"/>
      <c r="AF1346" s="583"/>
    </row>
    <row r="1347" spans="31:32" ht="18" customHeight="1">
      <c r="AE1347" s="583"/>
      <c r="AF1347" s="583"/>
    </row>
    <row r="1348" spans="31:32" ht="18" customHeight="1">
      <c r="AE1348" s="583"/>
      <c r="AF1348" s="583"/>
    </row>
    <row r="1349" spans="31:32" ht="18" customHeight="1">
      <c r="AE1349" s="583"/>
      <c r="AF1349" s="583"/>
    </row>
    <row r="1350" spans="31:32" ht="18" customHeight="1">
      <c r="AE1350" s="583"/>
      <c r="AF1350" s="583"/>
    </row>
    <row r="1351" spans="31:32" ht="18" customHeight="1">
      <c r="AE1351" s="583"/>
      <c r="AF1351" s="583"/>
    </row>
    <row r="1352" spans="31:32" ht="18" customHeight="1">
      <c r="AE1352" s="583"/>
      <c r="AF1352" s="583"/>
    </row>
    <row r="1353" spans="31:32" ht="18" customHeight="1">
      <c r="AE1353" s="583"/>
      <c r="AF1353" s="583"/>
    </row>
    <row r="1354" spans="31:32" ht="18" customHeight="1">
      <c r="AE1354" s="583"/>
      <c r="AF1354" s="583"/>
    </row>
    <row r="1355" spans="31:32" ht="18" customHeight="1">
      <c r="AE1355" s="583"/>
      <c r="AF1355" s="583"/>
    </row>
    <row r="1356" spans="31:32" ht="18" customHeight="1">
      <c r="AE1356" s="583"/>
      <c r="AF1356" s="583"/>
    </row>
    <row r="1357" spans="31:32" ht="18" customHeight="1">
      <c r="AE1357" s="583"/>
      <c r="AF1357" s="583"/>
    </row>
    <row r="1358" spans="31:32" ht="18" customHeight="1">
      <c r="AE1358" s="583"/>
      <c r="AF1358" s="583"/>
    </row>
    <row r="1359" spans="31:32" ht="18" customHeight="1">
      <c r="AE1359" s="583"/>
      <c r="AF1359" s="583"/>
    </row>
    <row r="1360" spans="31:32" ht="18" customHeight="1">
      <c r="AE1360" s="583"/>
      <c r="AF1360" s="583"/>
    </row>
    <row r="1361" spans="31:32" ht="18" customHeight="1">
      <c r="AE1361" s="583"/>
      <c r="AF1361" s="583"/>
    </row>
    <row r="1362" spans="31:32" ht="18" customHeight="1">
      <c r="AE1362" s="583"/>
      <c r="AF1362" s="583"/>
    </row>
    <row r="1363" spans="31:32" ht="18" customHeight="1">
      <c r="AE1363" s="583"/>
      <c r="AF1363" s="583"/>
    </row>
    <row r="1364" spans="31:32" ht="18" customHeight="1">
      <c r="AE1364" s="583"/>
      <c r="AF1364" s="583"/>
    </row>
    <row r="1365" spans="31:32" ht="18" customHeight="1">
      <c r="AE1365" s="583"/>
      <c r="AF1365" s="583"/>
    </row>
    <row r="1366" spans="31:32" ht="18" customHeight="1">
      <c r="AE1366" s="583"/>
      <c r="AF1366" s="583"/>
    </row>
    <row r="1367" spans="31:32" ht="18" customHeight="1">
      <c r="AE1367" s="583"/>
      <c r="AF1367" s="583"/>
    </row>
    <row r="1368" spans="31:32" ht="18" customHeight="1">
      <c r="AE1368" s="583"/>
      <c r="AF1368" s="583"/>
    </row>
    <row r="1369" spans="31:32" ht="18" customHeight="1">
      <c r="AE1369" s="583"/>
      <c r="AF1369" s="583"/>
    </row>
    <row r="1370" spans="31:32" ht="18" customHeight="1">
      <c r="AE1370" s="583"/>
      <c r="AF1370" s="583"/>
    </row>
    <row r="1371" spans="31:32" ht="18" customHeight="1">
      <c r="AE1371" s="583"/>
      <c r="AF1371" s="583"/>
    </row>
    <row r="1372" spans="31:32" ht="18" customHeight="1">
      <c r="AE1372" s="583"/>
      <c r="AF1372" s="583"/>
    </row>
    <row r="1373" spans="31:32" ht="18" customHeight="1">
      <c r="AE1373" s="583"/>
      <c r="AF1373" s="583"/>
    </row>
    <row r="1374" spans="31:32" ht="18" customHeight="1">
      <c r="AE1374" s="583"/>
      <c r="AF1374" s="583"/>
    </row>
    <row r="1375" spans="31:32" ht="18" customHeight="1">
      <c r="AE1375" s="583"/>
      <c r="AF1375" s="583"/>
    </row>
    <row r="1376" spans="31:32" ht="18" customHeight="1">
      <c r="AE1376" s="583"/>
      <c r="AF1376" s="583"/>
    </row>
    <row r="1377" spans="31:32" ht="18" customHeight="1">
      <c r="AE1377" s="583"/>
      <c r="AF1377" s="583"/>
    </row>
    <row r="1378" spans="31:32" ht="18" customHeight="1">
      <c r="AE1378" s="583"/>
      <c r="AF1378" s="583"/>
    </row>
    <row r="1379" spans="31:32" ht="18" customHeight="1">
      <c r="AE1379" s="583"/>
      <c r="AF1379" s="583"/>
    </row>
    <row r="1380" spans="31:32" ht="18" customHeight="1">
      <c r="AE1380" s="583"/>
      <c r="AF1380" s="583"/>
    </row>
    <row r="1381" spans="31:32" ht="18" customHeight="1">
      <c r="AE1381" s="583"/>
      <c r="AF1381" s="583"/>
    </row>
    <row r="1382" spans="31:32" ht="18" customHeight="1">
      <c r="AE1382" s="583"/>
      <c r="AF1382" s="583"/>
    </row>
    <row r="1383" spans="31:32" ht="18" customHeight="1">
      <c r="AE1383" s="583"/>
      <c r="AF1383" s="583"/>
    </row>
    <row r="1384" spans="31:32" ht="18" customHeight="1">
      <c r="AE1384" s="583"/>
      <c r="AF1384" s="583"/>
    </row>
    <row r="1385" spans="31:32" ht="18" customHeight="1">
      <c r="AE1385" s="583"/>
      <c r="AF1385" s="583"/>
    </row>
    <row r="1386" spans="31:32" ht="18" customHeight="1">
      <c r="AE1386" s="583"/>
      <c r="AF1386" s="583"/>
    </row>
    <row r="1387" spans="31:32" ht="18" customHeight="1">
      <c r="AE1387" s="583"/>
      <c r="AF1387" s="583"/>
    </row>
    <row r="1388" spans="31:32" ht="18" customHeight="1">
      <c r="AE1388" s="583"/>
      <c r="AF1388" s="583"/>
    </row>
    <row r="1389" spans="31:32" ht="18" customHeight="1">
      <c r="AE1389" s="583"/>
      <c r="AF1389" s="583"/>
    </row>
    <row r="1390" spans="31:32" ht="18" customHeight="1">
      <c r="AE1390" s="583"/>
      <c r="AF1390" s="583"/>
    </row>
    <row r="1391" spans="31:32" ht="18" customHeight="1">
      <c r="AE1391" s="583"/>
      <c r="AF1391" s="583"/>
    </row>
    <row r="1392" spans="31:32" ht="18" customHeight="1">
      <c r="AE1392" s="583"/>
      <c r="AF1392" s="583"/>
    </row>
    <row r="1393" spans="31:32" ht="18" customHeight="1">
      <c r="AE1393" s="583"/>
      <c r="AF1393" s="583"/>
    </row>
    <row r="1394" spans="31:32" ht="18" customHeight="1">
      <c r="AE1394" s="583"/>
      <c r="AF1394" s="583"/>
    </row>
    <row r="1395" spans="31:32" ht="18" customHeight="1">
      <c r="AE1395" s="583"/>
      <c r="AF1395" s="583"/>
    </row>
    <row r="1396" spans="31:32" ht="18" customHeight="1">
      <c r="AE1396" s="583"/>
      <c r="AF1396" s="583"/>
    </row>
    <row r="1397" spans="31:32" ht="18" customHeight="1">
      <c r="AE1397" s="583"/>
      <c r="AF1397" s="583"/>
    </row>
    <row r="1398" spans="31:32" ht="18" customHeight="1">
      <c r="AE1398" s="583"/>
      <c r="AF1398" s="583"/>
    </row>
    <row r="1399" spans="31:32" ht="18" customHeight="1">
      <c r="AE1399" s="583"/>
      <c r="AF1399" s="583"/>
    </row>
    <row r="1400" spans="31:32" ht="18" customHeight="1">
      <c r="AE1400" s="583"/>
      <c r="AF1400" s="583"/>
    </row>
    <row r="1401" spans="31:32" ht="18" customHeight="1">
      <c r="AE1401" s="583"/>
      <c r="AF1401" s="583"/>
    </row>
    <row r="1402" spans="31:32" ht="18" customHeight="1">
      <c r="AE1402" s="583"/>
      <c r="AF1402" s="583"/>
    </row>
    <row r="1403" spans="31:32" ht="18" customHeight="1">
      <c r="AE1403" s="583"/>
      <c r="AF1403" s="583"/>
    </row>
    <row r="1404" spans="31:32" ht="18" customHeight="1">
      <c r="AE1404" s="583"/>
      <c r="AF1404" s="583"/>
    </row>
    <row r="1405" spans="31:32" ht="18" customHeight="1">
      <c r="AE1405" s="583"/>
      <c r="AF1405" s="583"/>
    </row>
    <row r="1406" spans="31:32" ht="18" customHeight="1">
      <c r="AE1406" s="583"/>
      <c r="AF1406" s="583"/>
    </row>
    <row r="1407" spans="31:32" ht="18" customHeight="1">
      <c r="AE1407" s="583"/>
      <c r="AF1407" s="583"/>
    </row>
    <row r="1408" spans="31:32" ht="18" customHeight="1">
      <c r="AE1408" s="583"/>
      <c r="AF1408" s="583"/>
    </row>
    <row r="1409" spans="31:32" ht="18" customHeight="1">
      <c r="AE1409" s="583"/>
      <c r="AF1409" s="583"/>
    </row>
    <row r="1410" spans="31:32" ht="18" customHeight="1">
      <c r="AE1410" s="583"/>
      <c r="AF1410" s="583"/>
    </row>
    <row r="1411" spans="31:32" ht="18" customHeight="1">
      <c r="AE1411" s="583"/>
      <c r="AF1411" s="583"/>
    </row>
    <row r="1412" spans="31:32" ht="18" customHeight="1">
      <c r="AE1412" s="583"/>
      <c r="AF1412" s="583"/>
    </row>
    <row r="1413" spans="31:32" ht="18" customHeight="1">
      <c r="AE1413" s="583"/>
      <c r="AF1413" s="583"/>
    </row>
    <row r="1414" spans="31:32" ht="18" customHeight="1">
      <c r="AE1414" s="583"/>
      <c r="AF1414" s="583"/>
    </row>
    <row r="1415" spans="31:32" ht="18" customHeight="1">
      <c r="AE1415" s="583"/>
      <c r="AF1415" s="583"/>
    </row>
    <row r="1416" spans="31:32" ht="18" customHeight="1">
      <c r="AE1416" s="583"/>
      <c r="AF1416" s="583"/>
    </row>
    <row r="1417" spans="31:32" ht="18" customHeight="1">
      <c r="AE1417" s="583"/>
      <c r="AF1417" s="583"/>
    </row>
    <row r="1418" spans="31:32" ht="18" customHeight="1">
      <c r="AE1418" s="583"/>
      <c r="AF1418" s="583"/>
    </row>
    <row r="1419" spans="31:32" ht="18" customHeight="1">
      <c r="AE1419" s="583"/>
      <c r="AF1419" s="583"/>
    </row>
    <row r="1420" spans="31:32" ht="18" customHeight="1">
      <c r="AE1420" s="583"/>
      <c r="AF1420" s="583"/>
    </row>
    <row r="1421" spans="31:32" ht="18" customHeight="1">
      <c r="AE1421" s="583"/>
      <c r="AF1421" s="583"/>
    </row>
    <row r="1422" spans="31:32" ht="18" customHeight="1">
      <c r="AE1422" s="583"/>
      <c r="AF1422" s="583"/>
    </row>
    <row r="1423" spans="31:32" ht="18" customHeight="1">
      <c r="AE1423" s="583"/>
      <c r="AF1423" s="583"/>
    </row>
    <row r="1424" spans="31:32" ht="18" customHeight="1">
      <c r="AE1424" s="583"/>
      <c r="AF1424" s="583"/>
    </row>
    <row r="1425" spans="31:32" ht="18" customHeight="1">
      <c r="AE1425" s="583"/>
      <c r="AF1425" s="583"/>
    </row>
    <row r="1426" spans="31:32" ht="18" customHeight="1">
      <c r="AE1426" s="583"/>
      <c r="AF1426" s="583"/>
    </row>
    <row r="1427" spans="31:32" ht="18" customHeight="1">
      <c r="AE1427" s="583"/>
      <c r="AF1427" s="583"/>
    </row>
    <row r="1428" spans="31:32" ht="18" customHeight="1">
      <c r="AE1428" s="583"/>
      <c r="AF1428" s="583"/>
    </row>
    <row r="1429" spans="31:32" ht="18" customHeight="1">
      <c r="AE1429" s="583"/>
      <c r="AF1429" s="583"/>
    </row>
    <row r="1430" spans="31:32" ht="18" customHeight="1">
      <c r="AE1430" s="583"/>
      <c r="AF1430" s="583"/>
    </row>
    <row r="1431" spans="31:32" ht="18" customHeight="1">
      <c r="AE1431" s="583"/>
      <c r="AF1431" s="583"/>
    </row>
    <row r="1432" spans="31:32" ht="18" customHeight="1">
      <c r="AE1432" s="583"/>
      <c r="AF1432" s="583"/>
    </row>
    <row r="1433" spans="31:32" ht="18" customHeight="1">
      <c r="AE1433" s="583"/>
      <c r="AF1433" s="583"/>
    </row>
    <row r="1434" spans="31:32" ht="18" customHeight="1">
      <c r="AE1434" s="583"/>
      <c r="AF1434" s="583"/>
    </row>
    <row r="1435" spans="31:32" ht="18" customHeight="1">
      <c r="AE1435" s="583"/>
      <c r="AF1435" s="583"/>
    </row>
    <row r="1436" spans="31:32" ht="18" customHeight="1">
      <c r="AE1436" s="583"/>
      <c r="AF1436" s="583"/>
    </row>
    <row r="1437" spans="31:32" ht="18" customHeight="1">
      <c r="AE1437" s="583"/>
      <c r="AF1437" s="583"/>
    </row>
    <row r="1438" spans="31:32" ht="18" customHeight="1">
      <c r="AE1438" s="583"/>
      <c r="AF1438" s="583"/>
    </row>
    <row r="1439" spans="31:32" ht="18" customHeight="1">
      <c r="AE1439" s="583"/>
      <c r="AF1439" s="583"/>
    </row>
    <row r="1440" spans="31:32" ht="18" customHeight="1">
      <c r="AE1440" s="583"/>
      <c r="AF1440" s="583"/>
    </row>
    <row r="1441" spans="31:32" ht="18" customHeight="1">
      <c r="AE1441" s="583"/>
      <c r="AF1441" s="583"/>
    </row>
    <row r="1442" spans="31:32" ht="18" customHeight="1">
      <c r="AE1442" s="583"/>
      <c r="AF1442" s="583"/>
    </row>
    <row r="1443" spans="31:32" ht="18" customHeight="1">
      <c r="AE1443" s="583"/>
      <c r="AF1443" s="583"/>
    </row>
    <row r="1444" spans="31:32" ht="18" customHeight="1">
      <c r="AE1444" s="583"/>
      <c r="AF1444" s="583"/>
    </row>
    <row r="1445" spans="31:32" ht="18" customHeight="1">
      <c r="AE1445" s="583"/>
      <c r="AF1445" s="583"/>
    </row>
    <row r="1446" spans="31:32" ht="18" customHeight="1">
      <c r="AE1446" s="583"/>
      <c r="AF1446" s="583"/>
    </row>
    <row r="1447" spans="31:32" ht="18" customHeight="1">
      <c r="AE1447" s="583"/>
      <c r="AF1447" s="583"/>
    </row>
    <row r="1448" spans="31:32" ht="18" customHeight="1">
      <c r="AE1448" s="583"/>
      <c r="AF1448" s="583"/>
    </row>
    <row r="1449" spans="31:32" ht="18" customHeight="1">
      <c r="AE1449" s="583"/>
      <c r="AF1449" s="583"/>
    </row>
    <row r="1450" spans="31:32" ht="18" customHeight="1">
      <c r="AE1450" s="583"/>
      <c r="AF1450" s="583"/>
    </row>
    <row r="1451" spans="31:32" ht="18" customHeight="1">
      <c r="AE1451" s="583"/>
      <c r="AF1451" s="583"/>
    </row>
    <row r="1452" spans="31:32" ht="18" customHeight="1">
      <c r="AE1452" s="583"/>
      <c r="AF1452" s="583"/>
    </row>
    <row r="1453" spans="31:32" ht="18" customHeight="1">
      <c r="AE1453" s="583"/>
      <c r="AF1453" s="583"/>
    </row>
    <row r="1454" spans="31:32" ht="18" customHeight="1">
      <c r="AE1454" s="583"/>
      <c r="AF1454" s="583"/>
    </row>
    <row r="1455" spans="31:32" ht="18" customHeight="1">
      <c r="AE1455" s="583"/>
      <c r="AF1455" s="583"/>
    </row>
    <row r="1456" spans="31:32" ht="18" customHeight="1">
      <c r="AE1456" s="583"/>
      <c r="AF1456" s="583"/>
    </row>
    <row r="1457" spans="31:32" ht="18" customHeight="1">
      <c r="AE1457" s="583"/>
      <c r="AF1457" s="583"/>
    </row>
    <row r="1458" spans="31:32" ht="18" customHeight="1">
      <c r="AE1458" s="583"/>
      <c r="AF1458" s="583"/>
    </row>
    <row r="1459" spans="31:32" ht="18" customHeight="1">
      <c r="AE1459" s="583"/>
      <c r="AF1459" s="583"/>
    </row>
    <row r="1460" spans="31:32" ht="18" customHeight="1">
      <c r="AE1460" s="583"/>
      <c r="AF1460" s="583"/>
    </row>
    <row r="1461" spans="31:32" ht="18" customHeight="1">
      <c r="AE1461" s="583"/>
      <c r="AF1461" s="583"/>
    </row>
    <row r="1462" spans="31:32" ht="18" customHeight="1">
      <c r="AE1462" s="583"/>
      <c r="AF1462" s="583"/>
    </row>
    <row r="1463" spans="31:32" ht="18" customHeight="1">
      <c r="AE1463" s="583"/>
      <c r="AF1463" s="583"/>
    </row>
    <row r="1464" spans="31:32" ht="18" customHeight="1">
      <c r="AE1464" s="583"/>
      <c r="AF1464" s="583"/>
    </row>
    <row r="1465" spans="31:32" ht="18" customHeight="1">
      <c r="AE1465" s="583"/>
      <c r="AF1465" s="583"/>
    </row>
    <row r="1466" spans="31:32" ht="18" customHeight="1">
      <c r="AE1466" s="583"/>
      <c r="AF1466" s="583"/>
    </row>
    <row r="1467" spans="31:32" ht="18" customHeight="1">
      <c r="AE1467" s="583"/>
      <c r="AF1467" s="583"/>
    </row>
    <row r="1468" spans="31:32" ht="18" customHeight="1">
      <c r="AE1468" s="583"/>
      <c r="AF1468" s="583"/>
    </row>
    <row r="1469" spans="31:32" ht="18" customHeight="1">
      <c r="AE1469" s="583"/>
      <c r="AF1469" s="583"/>
    </row>
    <row r="1470" spans="31:32" ht="18" customHeight="1">
      <c r="AE1470" s="583"/>
      <c r="AF1470" s="583"/>
    </row>
    <row r="1471" spans="31:32" ht="18" customHeight="1">
      <c r="AE1471" s="583"/>
      <c r="AF1471" s="583"/>
    </row>
    <row r="1472" spans="31:32" ht="18" customHeight="1">
      <c r="AE1472" s="583"/>
      <c r="AF1472" s="583"/>
    </row>
    <row r="1473" spans="31:32" ht="18" customHeight="1">
      <c r="AE1473" s="583"/>
      <c r="AF1473" s="583"/>
    </row>
    <row r="1474" spans="31:32" ht="18" customHeight="1">
      <c r="AE1474" s="583"/>
      <c r="AF1474" s="583"/>
    </row>
    <row r="1475" spans="31:32" ht="18" customHeight="1">
      <c r="AE1475" s="583"/>
      <c r="AF1475" s="583"/>
    </row>
    <row r="1476" spans="31:32" ht="18" customHeight="1">
      <c r="AE1476" s="583"/>
      <c r="AF1476" s="583"/>
    </row>
    <row r="1477" spans="31:32" ht="18" customHeight="1">
      <c r="AE1477" s="583"/>
      <c r="AF1477" s="583"/>
    </row>
    <row r="1478" spans="31:32" ht="18" customHeight="1">
      <c r="AE1478" s="583"/>
      <c r="AF1478" s="583"/>
    </row>
    <row r="1479" spans="31:32" ht="18" customHeight="1">
      <c r="AE1479" s="583"/>
      <c r="AF1479" s="583"/>
    </row>
    <row r="1480" spans="31:32" ht="18" customHeight="1">
      <c r="AE1480" s="583"/>
      <c r="AF1480" s="583"/>
    </row>
    <row r="1481" spans="31:32" ht="18" customHeight="1">
      <c r="AE1481" s="583"/>
      <c r="AF1481" s="583"/>
    </row>
    <row r="1482" spans="31:32" ht="18" customHeight="1">
      <c r="AE1482" s="583"/>
      <c r="AF1482" s="583"/>
    </row>
    <row r="1483" spans="31:32" ht="18" customHeight="1">
      <c r="AE1483" s="583"/>
      <c r="AF1483" s="583"/>
    </row>
    <row r="1484" spans="31:32" ht="18" customHeight="1">
      <c r="AE1484" s="583"/>
      <c r="AF1484" s="583"/>
    </row>
    <row r="1485" spans="31:32" ht="18" customHeight="1">
      <c r="AE1485" s="583"/>
      <c r="AF1485" s="583"/>
    </row>
    <row r="1486" spans="31:32" ht="18" customHeight="1">
      <c r="AE1486" s="583"/>
      <c r="AF1486" s="583"/>
    </row>
    <row r="1487" spans="31:32" ht="18" customHeight="1">
      <c r="AE1487" s="583"/>
      <c r="AF1487" s="583"/>
    </row>
    <row r="1488" spans="31:32" ht="18" customHeight="1">
      <c r="AE1488" s="583"/>
      <c r="AF1488" s="583"/>
    </row>
    <row r="1489" spans="31:32" ht="18" customHeight="1">
      <c r="AE1489" s="583"/>
      <c r="AF1489" s="583"/>
    </row>
    <row r="1490" spans="31:32" ht="18" customHeight="1">
      <c r="AE1490" s="583"/>
      <c r="AF1490" s="583"/>
    </row>
    <row r="1491" spans="31:32" ht="18" customHeight="1">
      <c r="AE1491" s="583"/>
      <c r="AF1491" s="583"/>
    </row>
    <row r="1492" spans="31:32" ht="18" customHeight="1">
      <c r="AE1492" s="583"/>
      <c r="AF1492" s="583"/>
    </row>
    <row r="1493" spans="31:32" ht="18" customHeight="1">
      <c r="AE1493" s="583"/>
      <c r="AF1493" s="583"/>
    </row>
    <row r="1494" spans="31:32" ht="18" customHeight="1">
      <c r="AE1494" s="583"/>
      <c r="AF1494" s="583"/>
    </row>
    <row r="1495" spans="31:32" ht="18" customHeight="1">
      <c r="AE1495" s="583"/>
      <c r="AF1495" s="583"/>
    </row>
    <row r="1496" spans="31:32" ht="18" customHeight="1">
      <c r="AE1496" s="583"/>
      <c r="AF1496" s="583"/>
    </row>
    <row r="1497" spans="31:32" ht="18" customHeight="1">
      <c r="AE1497" s="583"/>
      <c r="AF1497" s="583"/>
    </row>
    <row r="1498" spans="31:32" ht="18" customHeight="1">
      <c r="AE1498" s="583"/>
      <c r="AF1498" s="583"/>
    </row>
    <row r="1499" spans="31:32" ht="18" customHeight="1">
      <c r="AE1499" s="583"/>
      <c r="AF1499" s="583"/>
    </row>
    <row r="1500" spans="31:32" ht="18" customHeight="1">
      <c r="AE1500" s="583"/>
      <c r="AF1500" s="583"/>
    </row>
    <row r="1501" spans="31:32" ht="18" customHeight="1">
      <c r="AE1501" s="583"/>
      <c r="AF1501" s="583"/>
    </row>
    <row r="1502" spans="31:32" ht="18" customHeight="1">
      <c r="AE1502" s="583"/>
      <c r="AF1502" s="583"/>
    </row>
    <row r="1503" spans="31:32" ht="18" customHeight="1">
      <c r="AE1503" s="583"/>
      <c r="AF1503" s="583"/>
    </row>
    <row r="1504" spans="31:32" ht="18" customHeight="1">
      <c r="AE1504" s="583"/>
      <c r="AF1504" s="583"/>
    </row>
    <row r="1505" spans="31:32" ht="18" customHeight="1">
      <c r="AE1505" s="583"/>
      <c r="AF1505" s="583"/>
    </row>
    <row r="1506" spans="31:32" ht="18" customHeight="1">
      <c r="AE1506" s="583"/>
      <c r="AF1506" s="583"/>
    </row>
    <row r="1507" spans="31:32" ht="18" customHeight="1">
      <c r="AE1507" s="583"/>
      <c r="AF1507" s="583"/>
    </row>
    <row r="1508" spans="31:32" ht="18" customHeight="1">
      <c r="AE1508" s="583"/>
      <c r="AF1508" s="583"/>
    </row>
    <row r="1509" spans="31:32" ht="18" customHeight="1">
      <c r="AE1509" s="583"/>
      <c r="AF1509" s="583"/>
    </row>
    <row r="1510" spans="31:32" ht="18" customHeight="1">
      <c r="AE1510" s="583"/>
      <c r="AF1510" s="583"/>
    </row>
    <row r="1511" spans="31:32" ht="18" customHeight="1">
      <c r="AE1511" s="583"/>
      <c r="AF1511" s="583"/>
    </row>
    <row r="1512" spans="31:32" ht="18" customHeight="1">
      <c r="AE1512" s="583"/>
      <c r="AF1512" s="583"/>
    </row>
    <row r="1513" spans="31:32" ht="18" customHeight="1">
      <c r="AE1513" s="583"/>
      <c r="AF1513" s="583"/>
    </row>
    <row r="1514" spans="31:32" ht="18" customHeight="1">
      <c r="AE1514" s="583"/>
      <c r="AF1514" s="583"/>
    </row>
    <row r="1515" spans="31:32" ht="18" customHeight="1">
      <c r="AE1515" s="583"/>
      <c r="AF1515" s="583"/>
    </row>
    <row r="1516" spans="31:32" ht="18" customHeight="1">
      <c r="AE1516" s="583"/>
      <c r="AF1516" s="583"/>
    </row>
    <row r="1517" spans="31:32" ht="18" customHeight="1">
      <c r="AE1517" s="583"/>
      <c r="AF1517" s="583"/>
    </row>
    <row r="1518" spans="31:32" ht="18" customHeight="1">
      <c r="AE1518" s="583"/>
      <c r="AF1518" s="583"/>
    </row>
    <row r="1519" spans="31:32" ht="18" customHeight="1">
      <c r="AE1519" s="583"/>
      <c r="AF1519" s="583"/>
    </row>
    <row r="1520" spans="31:32" ht="18" customHeight="1">
      <c r="AE1520" s="583"/>
      <c r="AF1520" s="583"/>
    </row>
    <row r="1521" spans="31:32" ht="18" customHeight="1">
      <c r="AE1521" s="583"/>
      <c r="AF1521" s="583"/>
    </row>
    <row r="1522" spans="31:32" ht="18" customHeight="1">
      <c r="AE1522" s="583"/>
      <c r="AF1522" s="583"/>
    </row>
    <row r="1523" spans="31:32" ht="18" customHeight="1">
      <c r="AE1523" s="583"/>
      <c r="AF1523" s="583"/>
    </row>
    <row r="1524" spans="31:32" ht="18" customHeight="1">
      <c r="AE1524" s="583"/>
      <c r="AF1524" s="583"/>
    </row>
    <row r="1525" spans="31:32" ht="18" customHeight="1">
      <c r="AE1525" s="583"/>
      <c r="AF1525" s="583"/>
    </row>
    <row r="1526" spans="31:32" ht="18" customHeight="1">
      <c r="AE1526" s="583"/>
      <c r="AF1526" s="583"/>
    </row>
    <row r="1527" spans="31:32" ht="18" customHeight="1">
      <c r="AE1527" s="583"/>
      <c r="AF1527" s="583"/>
    </row>
    <row r="1528" spans="31:32" ht="18" customHeight="1">
      <c r="AE1528" s="583"/>
      <c r="AF1528" s="583"/>
    </row>
    <row r="1529" spans="31:32" ht="18" customHeight="1">
      <c r="AE1529" s="583"/>
      <c r="AF1529" s="583"/>
    </row>
    <row r="1530" spans="31:32" ht="18" customHeight="1">
      <c r="AE1530" s="583"/>
      <c r="AF1530" s="583"/>
    </row>
    <row r="1531" spans="31:32" ht="18" customHeight="1">
      <c r="AE1531" s="583"/>
      <c r="AF1531" s="583"/>
    </row>
    <row r="1532" spans="31:32" ht="18" customHeight="1">
      <c r="AE1532" s="583"/>
      <c r="AF1532" s="583"/>
    </row>
    <row r="1533" spans="31:32" ht="18" customHeight="1">
      <c r="AE1533" s="583"/>
      <c r="AF1533" s="583"/>
    </row>
    <row r="1534" spans="31:32" ht="18" customHeight="1">
      <c r="AE1534" s="583"/>
      <c r="AF1534" s="583"/>
    </row>
    <row r="1535" spans="31:32" ht="18" customHeight="1">
      <c r="AE1535" s="583"/>
      <c r="AF1535" s="583"/>
    </row>
    <row r="1536" spans="31:32" ht="18" customHeight="1">
      <c r="AE1536" s="583"/>
      <c r="AF1536" s="583"/>
    </row>
    <row r="1537" spans="31:32" ht="18" customHeight="1">
      <c r="AE1537" s="583"/>
      <c r="AF1537" s="583"/>
    </row>
    <row r="1538" spans="31:32" ht="18" customHeight="1">
      <c r="AE1538" s="583"/>
      <c r="AF1538" s="583"/>
    </row>
    <row r="1539" spans="31:32" ht="18" customHeight="1">
      <c r="AE1539" s="583"/>
      <c r="AF1539" s="583"/>
    </row>
    <row r="1540" spans="31:32" ht="18" customHeight="1">
      <c r="AE1540" s="583"/>
      <c r="AF1540" s="583"/>
    </row>
    <row r="1541" spans="31:32" ht="18" customHeight="1">
      <c r="AE1541" s="583"/>
      <c r="AF1541" s="583"/>
    </row>
    <row r="1542" spans="31:32" ht="18" customHeight="1">
      <c r="AE1542" s="583"/>
      <c r="AF1542" s="583"/>
    </row>
    <row r="1543" spans="31:32" ht="18" customHeight="1">
      <c r="AE1543" s="583"/>
      <c r="AF1543" s="583"/>
    </row>
    <row r="1544" spans="31:32" ht="18" customHeight="1">
      <c r="AE1544" s="583"/>
      <c r="AF1544" s="583"/>
    </row>
    <row r="1545" spans="31:32" ht="18" customHeight="1">
      <c r="AE1545" s="583"/>
      <c r="AF1545" s="583"/>
    </row>
    <row r="1546" spans="31:32" ht="18" customHeight="1">
      <c r="AE1546" s="583"/>
      <c r="AF1546" s="583"/>
    </row>
    <row r="1547" spans="31:32" ht="18" customHeight="1">
      <c r="AE1547" s="583"/>
      <c r="AF1547" s="583"/>
    </row>
    <row r="1548" spans="31:32" ht="18" customHeight="1">
      <c r="AE1548" s="583"/>
      <c r="AF1548" s="583"/>
    </row>
    <row r="1549" spans="31:32" ht="18" customHeight="1">
      <c r="AE1549" s="583"/>
      <c r="AF1549" s="583"/>
    </row>
    <row r="1550" spans="31:32" ht="18" customHeight="1">
      <c r="AE1550" s="583"/>
      <c r="AF1550" s="583"/>
    </row>
    <row r="1551" spans="31:32" ht="18" customHeight="1">
      <c r="AE1551" s="583"/>
      <c r="AF1551" s="583"/>
    </row>
    <row r="1552" spans="31:32" ht="18" customHeight="1">
      <c r="AE1552" s="583"/>
      <c r="AF1552" s="583"/>
    </row>
    <row r="1553" spans="31:32" ht="18" customHeight="1">
      <c r="AE1553" s="583"/>
      <c r="AF1553" s="583"/>
    </row>
    <row r="1554" spans="31:32" ht="18" customHeight="1">
      <c r="AE1554" s="583"/>
      <c r="AF1554" s="583"/>
    </row>
    <row r="1555" spans="31:32" ht="18" customHeight="1">
      <c r="AE1555" s="583"/>
      <c r="AF1555" s="583"/>
    </row>
    <row r="1556" spans="31:32" ht="18" customHeight="1">
      <c r="AE1556" s="583"/>
      <c r="AF1556" s="583"/>
    </row>
    <row r="1557" spans="31:32" ht="18" customHeight="1">
      <c r="AE1557" s="583"/>
      <c r="AF1557" s="583"/>
    </row>
    <row r="1558" spans="31:32" ht="18" customHeight="1">
      <c r="AE1558" s="583"/>
      <c r="AF1558" s="583"/>
    </row>
    <row r="1559" spans="31:32" ht="18" customHeight="1">
      <c r="AE1559" s="583"/>
      <c r="AF1559" s="583"/>
    </row>
    <row r="1560" spans="31:32" ht="18" customHeight="1">
      <c r="AE1560" s="583"/>
      <c r="AF1560" s="583"/>
    </row>
    <row r="1561" spans="31:32" ht="18" customHeight="1">
      <c r="AE1561" s="583"/>
      <c r="AF1561" s="583"/>
    </row>
    <row r="1562" spans="31:32" ht="18" customHeight="1">
      <c r="AE1562" s="583"/>
      <c r="AF1562" s="583"/>
    </row>
    <row r="1563" spans="31:32" ht="18" customHeight="1">
      <c r="AE1563" s="583"/>
      <c r="AF1563" s="583"/>
    </row>
    <row r="1564" spans="31:32" ht="18" customHeight="1">
      <c r="AE1564" s="583"/>
      <c r="AF1564" s="583"/>
    </row>
    <row r="1565" spans="31:32" ht="18" customHeight="1">
      <c r="AE1565" s="583"/>
      <c r="AF1565" s="583"/>
    </row>
    <row r="1566" spans="31:32" ht="18" customHeight="1">
      <c r="AE1566" s="583"/>
      <c r="AF1566" s="583"/>
    </row>
    <row r="1567" spans="31:32" ht="18" customHeight="1">
      <c r="AE1567" s="583"/>
      <c r="AF1567" s="583"/>
    </row>
    <row r="1568" spans="31:32" ht="18" customHeight="1">
      <c r="AE1568" s="583"/>
      <c r="AF1568" s="583"/>
    </row>
    <row r="1569" spans="31:32" ht="18" customHeight="1">
      <c r="AE1569" s="583"/>
      <c r="AF1569" s="583"/>
    </row>
    <row r="1570" spans="31:32" ht="18" customHeight="1">
      <c r="AE1570" s="583"/>
      <c r="AF1570" s="583"/>
    </row>
    <row r="1571" spans="31:32" ht="18" customHeight="1">
      <c r="AE1571" s="583"/>
      <c r="AF1571" s="583"/>
    </row>
    <row r="1572" spans="31:32" ht="18" customHeight="1">
      <c r="AE1572" s="583"/>
      <c r="AF1572" s="583"/>
    </row>
    <row r="1573" spans="31:32" ht="18" customHeight="1">
      <c r="AE1573" s="583"/>
      <c r="AF1573" s="583"/>
    </row>
    <row r="1574" spans="31:32" ht="18" customHeight="1">
      <c r="AE1574" s="583"/>
      <c r="AF1574" s="583"/>
    </row>
    <row r="1575" spans="31:32" ht="18" customHeight="1">
      <c r="AE1575" s="583"/>
      <c r="AF1575" s="583"/>
    </row>
    <row r="1576" spans="31:32" ht="18" customHeight="1">
      <c r="AE1576" s="583"/>
      <c r="AF1576" s="583"/>
    </row>
    <row r="1577" spans="31:32" ht="18" customHeight="1">
      <c r="AE1577" s="583"/>
      <c r="AF1577" s="583"/>
    </row>
    <row r="1578" spans="31:32" ht="18" customHeight="1">
      <c r="AE1578" s="583"/>
      <c r="AF1578" s="583"/>
    </row>
    <row r="1579" spans="31:32" ht="18" customHeight="1">
      <c r="AE1579" s="583"/>
      <c r="AF1579" s="583"/>
    </row>
    <row r="1580" spans="31:32" ht="18" customHeight="1">
      <c r="AE1580" s="583"/>
      <c r="AF1580" s="583"/>
    </row>
    <row r="1581" spans="31:32" ht="18" customHeight="1">
      <c r="AE1581" s="583"/>
      <c r="AF1581" s="583"/>
    </row>
    <row r="1582" spans="31:32" ht="18" customHeight="1">
      <c r="AE1582" s="583"/>
      <c r="AF1582" s="583"/>
    </row>
    <row r="1583" spans="31:32" ht="18" customHeight="1">
      <c r="AE1583" s="583"/>
      <c r="AF1583" s="583"/>
    </row>
    <row r="1584" spans="31:32" ht="18" customHeight="1">
      <c r="AE1584" s="583"/>
      <c r="AF1584" s="583"/>
    </row>
    <row r="1585" spans="31:32" ht="18" customHeight="1">
      <c r="AE1585" s="583"/>
      <c r="AF1585" s="583"/>
    </row>
    <row r="1586" spans="31:32" ht="18" customHeight="1">
      <c r="AE1586" s="583"/>
      <c r="AF1586" s="583"/>
    </row>
    <row r="1587" spans="31:32" ht="18" customHeight="1">
      <c r="AE1587" s="583"/>
      <c r="AF1587" s="583"/>
    </row>
    <row r="1588" spans="31:32" ht="18" customHeight="1">
      <c r="AE1588" s="583"/>
      <c r="AF1588" s="583"/>
    </row>
    <row r="1589" spans="31:32" ht="18" customHeight="1">
      <c r="AE1589" s="583"/>
      <c r="AF1589" s="583"/>
    </row>
    <row r="1590" spans="31:32" ht="18" customHeight="1">
      <c r="AE1590" s="583"/>
      <c r="AF1590" s="583"/>
    </row>
    <row r="1591" spans="31:32" ht="18" customHeight="1">
      <c r="AE1591" s="583"/>
      <c r="AF1591" s="583"/>
    </row>
    <row r="1592" spans="31:32" ht="18" customHeight="1">
      <c r="AE1592" s="583"/>
      <c r="AF1592" s="583"/>
    </row>
    <row r="1593" spans="31:32" ht="18" customHeight="1">
      <c r="AE1593" s="583"/>
      <c r="AF1593" s="583"/>
    </row>
    <row r="1594" spans="31:32" ht="18" customHeight="1">
      <c r="AE1594" s="583"/>
      <c r="AF1594" s="583"/>
    </row>
    <row r="1595" spans="31:32" ht="18" customHeight="1">
      <c r="AE1595" s="583"/>
      <c r="AF1595" s="583"/>
    </row>
    <row r="1596" spans="31:32" ht="18" customHeight="1">
      <c r="AE1596" s="583"/>
      <c r="AF1596" s="583"/>
    </row>
    <row r="1597" spans="31:32" ht="18" customHeight="1">
      <c r="AE1597" s="583"/>
      <c r="AF1597" s="583"/>
    </row>
    <row r="1598" spans="31:32" ht="18" customHeight="1">
      <c r="AE1598" s="583"/>
      <c r="AF1598" s="583"/>
    </row>
    <row r="1599" spans="31:32" ht="18" customHeight="1">
      <c r="AE1599" s="583"/>
      <c r="AF1599" s="583"/>
    </row>
    <row r="1600" spans="31:32" ht="18" customHeight="1">
      <c r="AE1600" s="583"/>
      <c r="AF1600" s="583"/>
    </row>
    <row r="1601" spans="31:32" ht="18" customHeight="1">
      <c r="AE1601" s="583"/>
      <c r="AF1601" s="583"/>
    </row>
    <row r="1602" spans="31:32" ht="18" customHeight="1">
      <c r="AE1602" s="583"/>
      <c r="AF1602" s="583"/>
    </row>
    <row r="1603" spans="31:32" ht="18" customHeight="1">
      <c r="AE1603" s="583"/>
      <c r="AF1603" s="583"/>
    </row>
    <row r="1604" spans="31:32" ht="18" customHeight="1">
      <c r="AE1604" s="583"/>
      <c r="AF1604" s="583"/>
    </row>
    <row r="1605" spans="31:32" ht="18" customHeight="1">
      <c r="AE1605" s="583"/>
      <c r="AF1605" s="583"/>
    </row>
    <row r="1606" spans="31:32" ht="18" customHeight="1">
      <c r="AE1606" s="583"/>
      <c r="AF1606" s="583"/>
    </row>
    <row r="1607" spans="31:32" ht="18" customHeight="1">
      <c r="AE1607" s="583"/>
      <c r="AF1607" s="583"/>
    </row>
    <row r="1608" spans="31:32" ht="18" customHeight="1">
      <c r="AE1608" s="583"/>
      <c r="AF1608" s="583"/>
    </row>
    <row r="1609" spans="31:32" ht="18" customHeight="1">
      <c r="AE1609" s="583"/>
      <c r="AF1609" s="583"/>
    </row>
    <row r="1610" spans="31:32" ht="18" customHeight="1">
      <c r="AE1610" s="583"/>
      <c r="AF1610" s="583"/>
    </row>
    <row r="1611" spans="31:32" ht="18" customHeight="1">
      <c r="AE1611" s="583"/>
      <c r="AF1611" s="583"/>
    </row>
    <row r="1612" spans="31:32" ht="18" customHeight="1">
      <c r="AE1612" s="583"/>
      <c r="AF1612" s="583"/>
    </row>
    <row r="1613" spans="31:32" ht="18" customHeight="1">
      <c r="AE1613" s="583"/>
      <c r="AF1613" s="583"/>
    </row>
    <row r="1614" spans="31:32" ht="18" customHeight="1">
      <c r="AE1614" s="583"/>
      <c r="AF1614" s="583"/>
    </row>
    <row r="1615" spans="31:32" ht="18" customHeight="1">
      <c r="AE1615" s="583"/>
      <c r="AF1615" s="583"/>
    </row>
    <row r="1616" spans="31:32" ht="18" customHeight="1">
      <c r="AE1616" s="583"/>
      <c r="AF1616" s="583"/>
    </row>
    <row r="1617" spans="31:32" ht="18" customHeight="1">
      <c r="AE1617" s="583"/>
      <c r="AF1617" s="583"/>
    </row>
    <row r="1618" spans="31:32" ht="18" customHeight="1">
      <c r="AE1618" s="583"/>
      <c r="AF1618" s="583"/>
    </row>
    <row r="1619" spans="31:32" ht="18" customHeight="1">
      <c r="AE1619" s="583"/>
      <c r="AF1619" s="583"/>
    </row>
    <row r="1620" spans="31:32" ht="18" customHeight="1">
      <c r="AE1620" s="583"/>
      <c r="AF1620" s="583"/>
    </row>
    <row r="1621" spans="31:32" ht="18" customHeight="1">
      <c r="AE1621" s="583"/>
      <c r="AF1621" s="583"/>
    </row>
    <row r="1622" spans="31:32" ht="18" customHeight="1">
      <c r="AE1622" s="583"/>
      <c r="AF1622" s="583"/>
    </row>
    <row r="1623" spans="31:32" ht="18" customHeight="1">
      <c r="AE1623" s="583"/>
      <c r="AF1623" s="583"/>
    </row>
    <row r="1624" spans="31:32" ht="18" customHeight="1">
      <c r="AE1624" s="583"/>
      <c r="AF1624" s="583"/>
    </row>
    <row r="1625" spans="31:32" ht="18" customHeight="1">
      <c r="AE1625" s="583"/>
      <c r="AF1625" s="583"/>
    </row>
    <row r="1626" spans="31:32" ht="18" customHeight="1">
      <c r="AE1626" s="583"/>
      <c r="AF1626" s="583"/>
    </row>
    <row r="1627" spans="31:32" ht="18" customHeight="1">
      <c r="AE1627" s="583"/>
      <c r="AF1627" s="583"/>
    </row>
    <row r="1628" spans="31:32" ht="18" customHeight="1">
      <c r="AE1628" s="583"/>
      <c r="AF1628" s="583"/>
    </row>
    <row r="1629" spans="31:32" ht="18" customHeight="1">
      <c r="AE1629" s="583"/>
      <c r="AF1629" s="583"/>
    </row>
    <row r="1630" spans="31:32" ht="18" customHeight="1">
      <c r="AE1630" s="583"/>
      <c r="AF1630" s="583"/>
    </row>
    <row r="1631" spans="31:32" ht="18" customHeight="1">
      <c r="AE1631" s="583"/>
      <c r="AF1631" s="583"/>
    </row>
    <row r="1632" spans="31:32" ht="18" customHeight="1">
      <c r="AE1632" s="583"/>
      <c r="AF1632" s="583"/>
    </row>
    <row r="1633" spans="31:32" ht="18" customHeight="1">
      <c r="AE1633" s="583"/>
      <c r="AF1633" s="583"/>
    </row>
    <row r="1634" spans="31:32" ht="18" customHeight="1">
      <c r="AE1634" s="583"/>
      <c r="AF1634" s="583"/>
    </row>
    <row r="1635" spans="31:32" ht="18" customHeight="1">
      <c r="AE1635" s="583"/>
      <c r="AF1635" s="583"/>
    </row>
    <row r="1636" spans="31:32" ht="18" customHeight="1">
      <c r="AE1636" s="583"/>
      <c r="AF1636" s="583"/>
    </row>
    <row r="1637" spans="31:32" ht="18" customHeight="1">
      <c r="AE1637" s="583"/>
      <c r="AF1637" s="583"/>
    </row>
    <row r="1638" spans="31:32" ht="18" customHeight="1">
      <c r="AE1638" s="583"/>
      <c r="AF1638" s="583"/>
    </row>
    <row r="1639" spans="31:32" ht="18" customHeight="1">
      <c r="AE1639" s="583"/>
      <c r="AF1639" s="583"/>
    </row>
    <row r="1640" spans="31:32" ht="18" customHeight="1">
      <c r="AE1640" s="583"/>
      <c r="AF1640" s="583"/>
    </row>
    <row r="1641" spans="31:32" ht="18" customHeight="1">
      <c r="AE1641" s="583"/>
      <c r="AF1641" s="583"/>
    </row>
    <row r="1642" spans="31:32" ht="18" customHeight="1">
      <c r="AE1642" s="583"/>
      <c r="AF1642" s="583"/>
    </row>
    <row r="1643" spans="31:32" ht="18" customHeight="1">
      <c r="AE1643" s="583"/>
      <c r="AF1643" s="583"/>
    </row>
    <row r="1644" spans="31:32" ht="18" customHeight="1">
      <c r="AE1644" s="583"/>
      <c r="AF1644" s="583"/>
    </row>
    <row r="1645" spans="31:32" ht="18" customHeight="1">
      <c r="AE1645" s="583"/>
      <c r="AF1645" s="583"/>
    </row>
    <row r="1646" spans="31:32" ht="18" customHeight="1">
      <c r="AE1646" s="583"/>
      <c r="AF1646" s="583"/>
    </row>
    <row r="1647" spans="31:32" ht="18" customHeight="1">
      <c r="AE1647" s="583"/>
      <c r="AF1647" s="583"/>
    </row>
    <row r="1648" spans="31:32" ht="18" customHeight="1">
      <c r="AE1648" s="583"/>
      <c r="AF1648" s="583"/>
    </row>
    <row r="1649" spans="31:32" ht="18" customHeight="1">
      <c r="AE1649" s="583"/>
      <c r="AF1649" s="583"/>
    </row>
    <row r="1650" spans="31:32" ht="18" customHeight="1">
      <c r="AE1650" s="583"/>
      <c r="AF1650" s="583"/>
    </row>
    <row r="1651" spans="31:32" ht="18" customHeight="1">
      <c r="AE1651" s="583"/>
      <c r="AF1651" s="583"/>
    </row>
    <row r="1652" spans="31:32" ht="18" customHeight="1">
      <c r="AE1652" s="583"/>
      <c r="AF1652" s="583"/>
    </row>
    <row r="1653" spans="31:32" ht="18" customHeight="1">
      <c r="AE1653" s="583"/>
      <c r="AF1653" s="583"/>
    </row>
    <row r="1654" spans="31:32" ht="18" customHeight="1">
      <c r="AE1654" s="583"/>
      <c r="AF1654" s="583"/>
    </row>
    <row r="1655" spans="31:32" ht="18" customHeight="1">
      <c r="AE1655" s="583"/>
      <c r="AF1655" s="583"/>
    </row>
    <row r="1656" spans="31:32" ht="18" customHeight="1">
      <c r="AE1656" s="583"/>
      <c r="AF1656" s="583"/>
    </row>
    <row r="1657" spans="31:32" ht="18" customHeight="1">
      <c r="AE1657" s="583"/>
      <c r="AF1657" s="583"/>
    </row>
    <row r="1658" spans="31:32" ht="18" customHeight="1">
      <c r="AE1658" s="583"/>
      <c r="AF1658" s="583"/>
    </row>
    <row r="1659" spans="31:32" ht="18" customHeight="1">
      <c r="AE1659" s="583"/>
      <c r="AF1659" s="583"/>
    </row>
    <row r="1660" spans="31:32" ht="18" customHeight="1">
      <c r="AE1660" s="583"/>
      <c r="AF1660" s="583"/>
    </row>
    <row r="1661" spans="31:32" ht="18" customHeight="1">
      <c r="AE1661" s="583"/>
      <c r="AF1661" s="583"/>
    </row>
    <row r="1662" spans="31:32" ht="18" customHeight="1">
      <c r="AE1662" s="583"/>
      <c r="AF1662" s="583"/>
    </row>
    <row r="1663" spans="31:32" ht="18" customHeight="1">
      <c r="AE1663" s="583"/>
      <c r="AF1663" s="583"/>
    </row>
    <row r="1664" spans="31:32" ht="18" customHeight="1">
      <c r="AE1664" s="583"/>
      <c r="AF1664" s="583"/>
    </row>
    <row r="1665" spans="31:32" ht="18" customHeight="1">
      <c r="AE1665" s="583"/>
      <c r="AF1665" s="583"/>
    </row>
    <row r="1666" spans="31:32" ht="18" customHeight="1">
      <c r="AE1666" s="583"/>
      <c r="AF1666" s="583"/>
    </row>
    <row r="1667" spans="31:32" ht="18" customHeight="1">
      <c r="AE1667" s="583"/>
      <c r="AF1667" s="583"/>
    </row>
    <row r="1668" spans="31:32" ht="18" customHeight="1">
      <c r="AE1668" s="583"/>
      <c r="AF1668" s="583"/>
    </row>
    <row r="1669" spans="31:32" ht="18" customHeight="1">
      <c r="AE1669" s="583"/>
      <c r="AF1669" s="583"/>
    </row>
    <row r="1670" spans="31:32" ht="18" customHeight="1">
      <c r="AE1670" s="583"/>
      <c r="AF1670" s="583"/>
    </row>
    <row r="1671" spans="31:32" ht="18" customHeight="1">
      <c r="AE1671" s="583"/>
      <c r="AF1671" s="583"/>
    </row>
    <row r="1672" spans="31:32" ht="18" customHeight="1">
      <c r="AE1672" s="583"/>
      <c r="AF1672" s="583"/>
    </row>
    <row r="1673" spans="31:32" ht="18" customHeight="1">
      <c r="AE1673" s="583"/>
      <c r="AF1673" s="583"/>
    </row>
    <row r="1674" spans="31:32" ht="18" customHeight="1">
      <c r="AE1674" s="583"/>
      <c r="AF1674" s="583"/>
    </row>
    <row r="1675" spans="31:32" ht="18" customHeight="1">
      <c r="AE1675" s="583"/>
      <c r="AF1675" s="583"/>
    </row>
    <row r="1676" spans="31:32" ht="18" customHeight="1">
      <c r="AE1676" s="583"/>
      <c r="AF1676" s="583"/>
    </row>
    <row r="1677" spans="31:32" ht="18" customHeight="1">
      <c r="AE1677" s="583"/>
      <c r="AF1677" s="583"/>
    </row>
    <row r="1678" spans="31:32" ht="18" customHeight="1">
      <c r="AE1678" s="583"/>
      <c r="AF1678" s="583"/>
    </row>
    <row r="1679" spans="31:32" ht="18" customHeight="1">
      <c r="AE1679" s="583"/>
      <c r="AF1679" s="583"/>
    </row>
    <row r="1680" spans="31:32" ht="18" customHeight="1">
      <c r="AE1680" s="583"/>
      <c r="AF1680" s="583"/>
    </row>
    <row r="1681" spans="31:32" ht="18" customHeight="1">
      <c r="AE1681" s="583"/>
      <c r="AF1681" s="583"/>
    </row>
    <row r="1682" spans="31:32" ht="18" customHeight="1">
      <c r="AE1682" s="583"/>
      <c r="AF1682" s="583"/>
    </row>
    <row r="1683" spans="31:32" ht="18" customHeight="1">
      <c r="AE1683" s="583"/>
      <c r="AF1683" s="583"/>
    </row>
    <row r="1684" spans="31:32" ht="18" customHeight="1">
      <c r="AE1684" s="583"/>
      <c r="AF1684" s="583"/>
    </row>
    <row r="1685" spans="31:32" ht="18" customHeight="1">
      <c r="AE1685" s="583"/>
      <c r="AF1685" s="583"/>
    </row>
    <row r="1686" spans="31:32" ht="18" customHeight="1">
      <c r="AE1686" s="583"/>
      <c r="AF1686" s="583"/>
    </row>
    <row r="1687" spans="31:32" ht="18" customHeight="1">
      <c r="AE1687" s="583"/>
      <c r="AF1687" s="583"/>
    </row>
    <row r="1688" spans="31:32" ht="18" customHeight="1">
      <c r="AE1688" s="583"/>
      <c r="AF1688" s="583"/>
    </row>
    <row r="1689" spans="31:32" ht="18" customHeight="1">
      <c r="AE1689" s="583"/>
      <c r="AF1689" s="583"/>
    </row>
    <row r="1690" spans="31:32" ht="18" customHeight="1">
      <c r="AE1690" s="583"/>
      <c r="AF1690" s="583"/>
    </row>
    <row r="1691" spans="31:32" ht="18" customHeight="1">
      <c r="AE1691" s="583"/>
      <c r="AF1691" s="583"/>
    </row>
    <row r="1692" spans="31:32" ht="18" customHeight="1">
      <c r="AE1692" s="583"/>
      <c r="AF1692" s="583"/>
    </row>
    <row r="1693" spans="31:32" ht="18" customHeight="1">
      <c r="AE1693" s="583"/>
      <c r="AF1693" s="583"/>
    </row>
    <row r="1694" spans="31:32" ht="18" customHeight="1">
      <c r="AE1694" s="583"/>
      <c r="AF1694" s="583"/>
    </row>
    <row r="1695" spans="31:32" ht="18" customHeight="1">
      <c r="AE1695" s="583"/>
      <c r="AF1695" s="583"/>
    </row>
    <row r="1696" spans="31:32" ht="18" customHeight="1">
      <c r="AE1696" s="583"/>
      <c r="AF1696" s="583"/>
    </row>
    <row r="1697" spans="31:32" ht="18" customHeight="1">
      <c r="AE1697" s="583"/>
      <c r="AF1697" s="583"/>
    </row>
    <row r="1698" spans="31:32" ht="18" customHeight="1">
      <c r="AE1698" s="583"/>
      <c r="AF1698" s="583"/>
    </row>
    <row r="1699" spans="31:32" ht="18" customHeight="1">
      <c r="AE1699" s="583"/>
      <c r="AF1699" s="583"/>
    </row>
    <row r="1700" spans="31:32" ht="18" customHeight="1">
      <c r="AE1700" s="583"/>
      <c r="AF1700" s="583"/>
    </row>
    <row r="1701" spans="31:32" ht="18" customHeight="1">
      <c r="AE1701" s="583"/>
      <c r="AF1701" s="583"/>
    </row>
    <row r="1702" spans="31:32" ht="18" customHeight="1">
      <c r="AE1702" s="583"/>
      <c r="AF1702" s="583"/>
    </row>
    <row r="1703" spans="31:32" ht="18" customHeight="1">
      <c r="AE1703" s="583"/>
      <c r="AF1703" s="583"/>
    </row>
    <row r="1704" spans="31:32" ht="18" customHeight="1">
      <c r="AE1704" s="583"/>
      <c r="AF1704" s="583"/>
    </row>
    <row r="1705" spans="31:32" ht="18" customHeight="1">
      <c r="AE1705" s="583"/>
      <c r="AF1705" s="583"/>
    </row>
    <row r="1706" spans="31:32" ht="18" customHeight="1">
      <c r="AE1706" s="583"/>
      <c r="AF1706" s="583"/>
    </row>
    <row r="1707" spans="31:32" ht="18" customHeight="1">
      <c r="AE1707" s="583"/>
      <c r="AF1707" s="583"/>
    </row>
    <row r="1708" spans="31:32" ht="18" customHeight="1">
      <c r="AE1708" s="583"/>
      <c r="AF1708" s="583"/>
    </row>
    <row r="1709" spans="31:32" ht="18" customHeight="1">
      <c r="AE1709" s="583"/>
      <c r="AF1709" s="583"/>
    </row>
    <row r="1710" spans="31:32" ht="18" customHeight="1">
      <c r="AE1710" s="583"/>
      <c r="AF1710" s="583"/>
    </row>
    <row r="1711" spans="31:32" ht="18" customHeight="1">
      <c r="AE1711" s="583"/>
      <c r="AF1711" s="583"/>
    </row>
    <row r="1712" spans="31:32" ht="18" customHeight="1">
      <c r="AE1712" s="583"/>
      <c r="AF1712" s="583"/>
    </row>
    <row r="1713" spans="31:32" ht="18" customHeight="1">
      <c r="AE1713" s="583"/>
      <c r="AF1713" s="583"/>
    </row>
    <row r="1714" spans="31:32" ht="18" customHeight="1">
      <c r="AE1714" s="583"/>
      <c r="AF1714" s="583"/>
    </row>
    <row r="1715" spans="31:32" ht="18" customHeight="1">
      <c r="AE1715" s="583"/>
      <c r="AF1715" s="583"/>
    </row>
    <row r="1716" spans="31:32" ht="18" customHeight="1">
      <c r="AE1716" s="583"/>
      <c r="AF1716" s="583"/>
    </row>
    <row r="1717" spans="31:32" ht="18" customHeight="1">
      <c r="AE1717" s="583"/>
      <c r="AF1717" s="583"/>
    </row>
    <row r="1718" spans="31:32" ht="18" customHeight="1">
      <c r="AE1718" s="583"/>
      <c r="AF1718" s="583"/>
    </row>
    <row r="1719" spans="31:32" ht="18" customHeight="1">
      <c r="AE1719" s="583"/>
      <c r="AF1719" s="583"/>
    </row>
    <row r="1720" spans="31:32" ht="18" customHeight="1">
      <c r="AE1720" s="583"/>
      <c r="AF1720" s="583"/>
    </row>
    <row r="1721" spans="31:32" ht="18" customHeight="1">
      <c r="AE1721" s="583"/>
      <c r="AF1721" s="583"/>
    </row>
    <row r="1722" spans="31:32" ht="18" customHeight="1">
      <c r="AE1722" s="583"/>
      <c r="AF1722" s="583"/>
    </row>
    <row r="1723" spans="31:32" ht="18" customHeight="1">
      <c r="AE1723" s="583"/>
      <c r="AF1723" s="583"/>
    </row>
    <row r="1724" spans="31:32" ht="18" customHeight="1">
      <c r="AE1724" s="583"/>
      <c r="AF1724" s="583"/>
    </row>
    <row r="1725" spans="31:32" ht="18" customHeight="1">
      <c r="AE1725" s="583"/>
      <c r="AF1725" s="583"/>
    </row>
    <row r="1726" spans="31:32" ht="18" customHeight="1">
      <c r="AE1726" s="583"/>
      <c r="AF1726" s="583"/>
    </row>
    <row r="1727" spans="31:32" ht="18" customHeight="1">
      <c r="AE1727" s="583"/>
      <c r="AF1727" s="583"/>
    </row>
    <row r="1728" spans="31:32" ht="18" customHeight="1">
      <c r="AE1728" s="583"/>
      <c r="AF1728" s="583"/>
    </row>
    <row r="1729" spans="31:32" ht="18" customHeight="1">
      <c r="AE1729" s="583"/>
      <c r="AF1729" s="583"/>
    </row>
    <row r="1730" spans="31:32" ht="18" customHeight="1">
      <c r="AE1730" s="583"/>
      <c r="AF1730" s="583"/>
    </row>
    <row r="1731" spans="31:32" ht="18" customHeight="1">
      <c r="AE1731" s="583"/>
      <c r="AF1731" s="583"/>
    </row>
    <row r="1732" spans="31:32" ht="18" customHeight="1">
      <c r="AE1732" s="583"/>
      <c r="AF1732" s="583"/>
    </row>
    <row r="1733" spans="31:32" ht="18" customHeight="1">
      <c r="AE1733" s="583"/>
      <c r="AF1733" s="583"/>
    </row>
    <row r="1734" spans="31:32" ht="18" customHeight="1">
      <c r="AE1734" s="583"/>
      <c r="AF1734" s="583"/>
    </row>
    <row r="1735" spans="31:32" ht="18" customHeight="1">
      <c r="AE1735" s="583"/>
      <c r="AF1735" s="583"/>
    </row>
    <row r="1736" spans="31:32" ht="18" customHeight="1">
      <c r="AE1736" s="583"/>
      <c r="AF1736" s="583"/>
    </row>
    <row r="1737" spans="31:32" ht="18" customHeight="1">
      <c r="AE1737" s="583"/>
      <c r="AF1737" s="583"/>
    </row>
    <row r="1738" spans="31:32" ht="18" customHeight="1">
      <c r="AE1738" s="583"/>
      <c r="AF1738" s="583"/>
    </row>
    <row r="1739" spans="31:32" ht="18" customHeight="1">
      <c r="AE1739" s="583"/>
      <c r="AF1739" s="583"/>
    </row>
    <row r="1740" spans="31:32" ht="18" customHeight="1">
      <c r="AE1740" s="583"/>
      <c r="AF1740" s="583"/>
    </row>
    <row r="1741" spans="31:32" ht="18" customHeight="1">
      <c r="AE1741" s="583"/>
      <c r="AF1741" s="583"/>
    </row>
    <row r="1742" spans="31:32" ht="18" customHeight="1">
      <c r="AE1742" s="583"/>
      <c r="AF1742" s="583"/>
    </row>
    <row r="1743" spans="31:32" ht="18" customHeight="1">
      <c r="AE1743" s="583"/>
      <c r="AF1743" s="583"/>
    </row>
    <row r="1744" spans="31:32" ht="18" customHeight="1">
      <c r="AE1744" s="583"/>
      <c r="AF1744" s="583"/>
    </row>
    <row r="1745" spans="31:32" ht="18" customHeight="1">
      <c r="AE1745" s="583"/>
      <c r="AF1745" s="583"/>
    </row>
    <row r="1746" spans="31:32" ht="18" customHeight="1">
      <c r="AE1746" s="583"/>
      <c r="AF1746" s="583"/>
    </row>
    <row r="1747" spans="31:32" ht="18" customHeight="1">
      <c r="AE1747" s="583"/>
      <c r="AF1747" s="583"/>
    </row>
    <row r="1748" spans="31:32" ht="18" customHeight="1">
      <c r="AE1748" s="583"/>
      <c r="AF1748" s="583"/>
    </row>
    <row r="1749" spans="31:32" ht="18" customHeight="1">
      <c r="AE1749" s="583"/>
      <c r="AF1749" s="583"/>
    </row>
    <row r="1750" spans="31:32" ht="18" customHeight="1">
      <c r="AE1750" s="583"/>
      <c r="AF1750" s="583"/>
    </row>
    <row r="1751" spans="31:32" ht="18" customHeight="1">
      <c r="AE1751" s="583"/>
      <c r="AF1751" s="583"/>
    </row>
    <row r="1752" spans="31:32" ht="18" customHeight="1">
      <c r="AE1752" s="583"/>
      <c r="AF1752" s="583"/>
    </row>
    <row r="1753" spans="31:32" ht="18" customHeight="1">
      <c r="AE1753" s="583"/>
      <c r="AF1753" s="583"/>
    </row>
    <row r="1754" spans="31:32" ht="18" customHeight="1">
      <c r="AE1754" s="583"/>
      <c r="AF1754" s="583"/>
    </row>
    <row r="1755" spans="31:32" ht="18" customHeight="1">
      <c r="AE1755" s="583"/>
      <c r="AF1755" s="583"/>
    </row>
    <row r="1756" spans="31:32" ht="18" customHeight="1">
      <c r="AE1756" s="583"/>
      <c r="AF1756" s="583"/>
    </row>
    <row r="1757" spans="31:32" ht="18" customHeight="1">
      <c r="AE1757" s="583"/>
      <c r="AF1757" s="583"/>
    </row>
    <row r="1758" spans="31:32" ht="18" customHeight="1">
      <c r="AE1758" s="583"/>
      <c r="AF1758" s="583"/>
    </row>
    <row r="1759" spans="31:32" ht="18" customHeight="1">
      <c r="AE1759" s="583"/>
      <c r="AF1759" s="583"/>
    </row>
    <row r="1760" spans="31:32" ht="18" customHeight="1">
      <c r="AE1760" s="583"/>
      <c r="AF1760" s="583"/>
    </row>
    <row r="1761" spans="31:32" ht="18" customHeight="1">
      <c r="AE1761" s="583"/>
      <c r="AF1761" s="583"/>
    </row>
    <row r="1762" spans="31:32" ht="18" customHeight="1">
      <c r="AE1762" s="583"/>
      <c r="AF1762" s="583"/>
    </row>
    <row r="1763" spans="31:32" ht="18" customHeight="1">
      <c r="AE1763" s="583"/>
      <c r="AF1763" s="583"/>
    </row>
    <row r="1764" spans="31:32" ht="18" customHeight="1">
      <c r="AE1764" s="583"/>
      <c r="AF1764" s="583"/>
    </row>
    <row r="1765" spans="31:32" ht="18" customHeight="1">
      <c r="AE1765" s="583"/>
      <c r="AF1765" s="583"/>
    </row>
    <row r="1766" spans="31:32" ht="18" customHeight="1">
      <c r="AE1766" s="583"/>
      <c r="AF1766" s="583"/>
    </row>
    <row r="1767" spans="31:32" ht="18" customHeight="1">
      <c r="AE1767" s="583"/>
      <c r="AF1767" s="583"/>
    </row>
    <row r="1768" spans="31:32" ht="18" customHeight="1">
      <c r="AE1768" s="583"/>
      <c r="AF1768" s="583"/>
    </row>
    <row r="1769" spans="31:32" ht="18" customHeight="1">
      <c r="AE1769" s="583"/>
      <c r="AF1769" s="583"/>
    </row>
    <row r="1770" spans="31:32" ht="18" customHeight="1">
      <c r="AE1770" s="583"/>
      <c r="AF1770" s="583"/>
    </row>
    <row r="1771" spans="31:32" ht="18" customHeight="1">
      <c r="AE1771" s="583"/>
      <c r="AF1771" s="583"/>
    </row>
    <row r="1772" spans="31:32" ht="18" customHeight="1">
      <c r="AE1772" s="583"/>
      <c r="AF1772" s="583"/>
    </row>
    <row r="1773" spans="31:32" ht="18" customHeight="1">
      <c r="AE1773" s="583"/>
      <c r="AF1773" s="583"/>
    </row>
    <row r="1774" spans="31:32" ht="18" customHeight="1">
      <c r="AE1774" s="583"/>
      <c r="AF1774" s="583"/>
    </row>
    <row r="1775" spans="31:32" ht="18" customHeight="1">
      <c r="AE1775" s="583"/>
      <c r="AF1775" s="583"/>
    </row>
    <row r="1776" spans="31:32" ht="18" customHeight="1">
      <c r="AE1776" s="583"/>
      <c r="AF1776" s="583"/>
    </row>
    <row r="1777" spans="31:32" ht="18" customHeight="1">
      <c r="AE1777" s="583"/>
      <c r="AF1777" s="583"/>
    </row>
    <row r="1778" spans="31:32" ht="18" customHeight="1">
      <c r="AE1778" s="583"/>
      <c r="AF1778" s="583"/>
    </row>
    <row r="1779" spans="31:32" ht="18" customHeight="1">
      <c r="AE1779" s="583"/>
      <c r="AF1779" s="583"/>
    </row>
    <row r="1780" spans="31:32" ht="18" customHeight="1">
      <c r="AE1780" s="583"/>
      <c r="AF1780" s="583"/>
    </row>
    <row r="1781" spans="31:32" ht="18" customHeight="1">
      <c r="AE1781" s="583"/>
      <c r="AF1781" s="583"/>
    </row>
    <row r="1782" spans="31:32" ht="18" customHeight="1">
      <c r="AE1782" s="583"/>
      <c r="AF1782" s="583"/>
    </row>
    <row r="1783" spans="31:32" ht="18" customHeight="1">
      <c r="AE1783" s="583"/>
      <c r="AF1783" s="583"/>
    </row>
    <row r="1784" spans="31:32" ht="18" customHeight="1">
      <c r="AE1784" s="583"/>
      <c r="AF1784" s="583"/>
    </row>
    <row r="1785" spans="31:32" ht="18" customHeight="1">
      <c r="AE1785" s="583"/>
      <c r="AF1785" s="583"/>
    </row>
    <row r="1786" spans="31:32" ht="18" customHeight="1">
      <c r="AE1786" s="583"/>
      <c r="AF1786" s="583"/>
    </row>
    <row r="1787" spans="31:32" ht="18" customHeight="1">
      <c r="AE1787" s="583"/>
      <c r="AF1787" s="583"/>
    </row>
    <row r="1788" spans="31:32" ht="18" customHeight="1">
      <c r="AE1788" s="583"/>
      <c r="AF1788" s="583"/>
    </row>
    <row r="1789" spans="31:32" ht="18" customHeight="1">
      <c r="AE1789" s="583"/>
      <c r="AF1789" s="583"/>
    </row>
    <row r="1790" spans="31:32" ht="18" customHeight="1">
      <c r="AE1790" s="583"/>
      <c r="AF1790" s="583"/>
    </row>
    <row r="1791" spans="31:32" ht="18" customHeight="1">
      <c r="AE1791" s="583"/>
      <c r="AF1791" s="583"/>
    </row>
    <row r="1792" spans="31:32" ht="18" customHeight="1">
      <c r="AE1792" s="583"/>
      <c r="AF1792" s="583"/>
    </row>
    <row r="1793" spans="31:32" ht="18" customHeight="1">
      <c r="AE1793" s="583"/>
      <c r="AF1793" s="583"/>
    </row>
    <row r="1794" spans="31:32" ht="18" customHeight="1">
      <c r="AE1794" s="583"/>
      <c r="AF1794" s="583"/>
    </row>
    <row r="1795" spans="31:32" ht="18" customHeight="1">
      <c r="AE1795" s="583"/>
      <c r="AF1795" s="583"/>
    </row>
    <row r="1796" spans="31:32" ht="18" customHeight="1">
      <c r="AE1796" s="583"/>
      <c r="AF1796" s="583"/>
    </row>
    <row r="1797" spans="31:32" ht="18" customHeight="1">
      <c r="AE1797" s="583"/>
      <c r="AF1797" s="583"/>
    </row>
    <row r="1798" spans="31:32" ht="18" customHeight="1">
      <c r="AE1798" s="583"/>
      <c r="AF1798" s="583"/>
    </row>
    <row r="1799" spans="31:32" ht="18" customHeight="1">
      <c r="AE1799" s="583"/>
      <c r="AF1799" s="583"/>
    </row>
    <row r="1800" spans="31:32" ht="18" customHeight="1">
      <c r="AE1800" s="583"/>
      <c r="AF1800" s="583"/>
    </row>
    <row r="1801" spans="31:32" ht="18" customHeight="1">
      <c r="AE1801" s="583"/>
      <c r="AF1801" s="583"/>
    </row>
    <row r="1802" spans="31:32" ht="18" customHeight="1">
      <c r="AE1802" s="583"/>
      <c r="AF1802" s="583"/>
    </row>
    <row r="1803" spans="31:32" ht="18" customHeight="1">
      <c r="AE1803" s="583"/>
      <c r="AF1803" s="583"/>
    </row>
    <row r="1804" spans="31:32" ht="18" customHeight="1">
      <c r="AE1804" s="583"/>
      <c r="AF1804" s="583"/>
    </row>
    <row r="1805" spans="31:32" ht="18" customHeight="1">
      <c r="AE1805" s="583"/>
      <c r="AF1805" s="583"/>
    </row>
    <row r="1806" spans="31:32" ht="18" customHeight="1">
      <c r="AE1806" s="583"/>
      <c r="AF1806" s="583"/>
    </row>
    <row r="1807" spans="31:32" ht="18" customHeight="1">
      <c r="AE1807" s="583"/>
      <c r="AF1807" s="583"/>
    </row>
    <row r="1808" spans="31:32" ht="18" customHeight="1">
      <c r="AE1808" s="583"/>
      <c r="AF1808" s="583"/>
    </row>
    <row r="1809" spans="31:32" ht="18" customHeight="1">
      <c r="AE1809" s="583"/>
      <c r="AF1809" s="583"/>
    </row>
    <row r="1810" spans="31:32" ht="18" customHeight="1">
      <c r="AE1810" s="583"/>
      <c r="AF1810" s="583"/>
    </row>
    <row r="1811" spans="31:32" ht="18" customHeight="1">
      <c r="AE1811" s="583"/>
      <c r="AF1811" s="583"/>
    </row>
    <row r="1812" spans="31:32" ht="18" customHeight="1">
      <c r="AE1812" s="583"/>
      <c r="AF1812" s="583"/>
    </row>
    <row r="1813" spans="31:32" ht="18" customHeight="1">
      <c r="AE1813" s="583"/>
      <c r="AF1813" s="583"/>
    </row>
    <row r="1814" spans="31:32" ht="18" customHeight="1">
      <c r="AE1814" s="583"/>
      <c r="AF1814" s="583"/>
    </row>
    <row r="1815" spans="31:32" ht="18" customHeight="1">
      <c r="AE1815" s="583"/>
      <c r="AF1815" s="583"/>
    </row>
    <row r="1816" spans="31:32" ht="18" customHeight="1">
      <c r="AE1816" s="583"/>
      <c r="AF1816" s="583"/>
    </row>
    <row r="1817" spans="31:32" ht="18" customHeight="1">
      <c r="AE1817" s="583"/>
      <c r="AF1817" s="583"/>
    </row>
    <row r="1818" spans="31:32" ht="18" customHeight="1">
      <c r="AE1818" s="583"/>
      <c r="AF1818" s="583"/>
    </row>
    <row r="1819" spans="31:32" ht="18" customHeight="1">
      <c r="AE1819" s="583"/>
      <c r="AF1819" s="583"/>
    </row>
    <row r="1820" spans="31:32" ht="18" customHeight="1">
      <c r="AE1820" s="583"/>
      <c r="AF1820" s="583"/>
    </row>
    <row r="1821" spans="31:32" ht="18" customHeight="1">
      <c r="AE1821" s="583"/>
      <c r="AF1821" s="583"/>
    </row>
    <row r="1822" spans="31:32" ht="18" customHeight="1">
      <c r="AE1822" s="583"/>
      <c r="AF1822" s="583"/>
    </row>
    <row r="1823" spans="31:32" ht="18" customHeight="1">
      <c r="AE1823" s="583"/>
      <c r="AF1823" s="583"/>
    </row>
    <row r="1824" spans="31:32" ht="18" customHeight="1">
      <c r="AE1824" s="583"/>
      <c r="AF1824" s="583"/>
    </row>
    <row r="1825" spans="31:32" ht="18" customHeight="1">
      <c r="AE1825" s="583"/>
      <c r="AF1825" s="583"/>
    </row>
    <row r="1826" spans="31:32" ht="18" customHeight="1">
      <c r="AE1826" s="583"/>
      <c r="AF1826" s="583"/>
    </row>
    <row r="1827" spans="31:32" ht="18" customHeight="1">
      <c r="AE1827" s="583"/>
      <c r="AF1827" s="583"/>
    </row>
    <row r="1828" spans="31:32" ht="18" customHeight="1">
      <c r="AE1828" s="583"/>
      <c r="AF1828" s="583"/>
    </row>
    <row r="1829" spans="31:32" ht="18" customHeight="1">
      <c r="AE1829" s="583"/>
      <c r="AF1829" s="583"/>
    </row>
    <row r="1830" spans="31:32" ht="18" customHeight="1">
      <c r="AE1830" s="583"/>
      <c r="AF1830" s="583"/>
    </row>
    <row r="1831" spans="31:32" ht="18" customHeight="1">
      <c r="AE1831" s="583"/>
      <c r="AF1831" s="583"/>
    </row>
    <row r="1832" spans="31:32" ht="18" customHeight="1">
      <c r="AE1832" s="583"/>
      <c r="AF1832" s="583"/>
    </row>
    <row r="1833" spans="31:32" ht="18" customHeight="1">
      <c r="AE1833" s="583"/>
      <c r="AF1833" s="583"/>
    </row>
    <row r="1834" spans="31:32" ht="18" customHeight="1">
      <c r="AE1834" s="583"/>
      <c r="AF1834" s="583"/>
    </row>
    <row r="1835" spans="31:32" ht="18" customHeight="1">
      <c r="AE1835" s="583"/>
      <c r="AF1835" s="583"/>
    </row>
    <row r="1836" spans="31:32" ht="18" customHeight="1">
      <c r="AE1836" s="583"/>
      <c r="AF1836" s="583"/>
    </row>
    <row r="1837" spans="31:32" ht="18" customHeight="1">
      <c r="AE1837" s="583"/>
      <c r="AF1837" s="583"/>
    </row>
    <row r="1838" spans="31:32" ht="18" customHeight="1">
      <c r="AE1838" s="583"/>
      <c r="AF1838" s="583"/>
    </row>
    <row r="1839" spans="31:32" ht="18" customHeight="1">
      <c r="AE1839" s="583"/>
      <c r="AF1839" s="583"/>
    </row>
    <row r="1840" spans="31:32" ht="18" customHeight="1">
      <c r="AE1840" s="583"/>
      <c r="AF1840" s="583"/>
    </row>
    <row r="1841" spans="31:32" ht="18" customHeight="1">
      <c r="AE1841" s="583"/>
      <c r="AF1841" s="583"/>
    </row>
    <row r="1842" spans="31:32" ht="18" customHeight="1">
      <c r="AE1842" s="583"/>
      <c r="AF1842" s="583"/>
    </row>
    <row r="1843" spans="31:32" ht="18" customHeight="1">
      <c r="AE1843" s="583"/>
      <c r="AF1843" s="583"/>
    </row>
    <row r="1844" spans="31:32" ht="18" customHeight="1">
      <c r="AE1844" s="583"/>
      <c r="AF1844" s="583"/>
    </row>
    <row r="1845" spans="31:32" ht="18" customHeight="1">
      <c r="AE1845" s="583"/>
      <c r="AF1845" s="583"/>
    </row>
    <row r="1846" spans="31:32" ht="18" customHeight="1">
      <c r="AE1846" s="583"/>
      <c r="AF1846" s="583"/>
    </row>
    <row r="1847" spans="31:32" ht="18" customHeight="1">
      <c r="AE1847" s="583"/>
      <c r="AF1847" s="583"/>
    </row>
    <row r="1848" spans="31:32" ht="18" customHeight="1">
      <c r="AE1848" s="583"/>
      <c r="AF1848" s="583"/>
    </row>
    <row r="1849" spans="31:32" ht="18" customHeight="1">
      <c r="AE1849" s="583"/>
      <c r="AF1849" s="583"/>
    </row>
    <row r="1850" spans="31:32" ht="18" customHeight="1">
      <c r="AE1850" s="583"/>
      <c r="AF1850" s="583"/>
    </row>
    <row r="1851" spans="31:32" ht="18" customHeight="1">
      <c r="AE1851" s="583"/>
      <c r="AF1851" s="583"/>
    </row>
    <row r="1852" spans="31:32" ht="18" customHeight="1">
      <c r="AE1852" s="583"/>
      <c r="AF1852" s="583"/>
    </row>
    <row r="1853" spans="31:32" ht="18" customHeight="1">
      <c r="AE1853" s="583"/>
      <c r="AF1853" s="583"/>
    </row>
    <row r="1854" spans="31:32" ht="18" customHeight="1">
      <c r="AE1854" s="583"/>
      <c r="AF1854" s="583"/>
    </row>
    <row r="1855" spans="31:32" ht="18" customHeight="1">
      <c r="AE1855" s="583"/>
      <c r="AF1855" s="583"/>
    </row>
    <row r="1856" spans="31:32" ht="18" customHeight="1">
      <c r="AE1856" s="583"/>
      <c r="AF1856" s="583"/>
    </row>
    <row r="1857" spans="31:32" ht="18" customHeight="1">
      <c r="AE1857" s="583"/>
      <c r="AF1857" s="583"/>
    </row>
    <row r="1858" spans="31:32" ht="18" customHeight="1">
      <c r="AE1858" s="583"/>
      <c r="AF1858" s="583"/>
    </row>
    <row r="1859" spans="31:32" ht="18" customHeight="1">
      <c r="AE1859" s="583"/>
      <c r="AF1859" s="583"/>
    </row>
    <row r="1860" spans="31:32" ht="18" customHeight="1">
      <c r="AE1860" s="583"/>
      <c r="AF1860" s="583"/>
    </row>
    <row r="1861" spans="31:32" ht="18" customHeight="1">
      <c r="AE1861" s="583"/>
      <c r="AF1861" s="583"/>
    </row>
    <row r="1862" spans="31:32" ht="18" customHeight="1">
      <c r="AE1862" s="583"/>
      <c r="AF1862" s="583"/>
    </row>
    <row r="1863" spans="31:32" ht="18" customHeight="1">
      <c r="AE1863" s="583"/>
      <c r="AF1863" s="583"/>
    </row>
    <row r="1864" spans="31:32" ht="18" customHeight="1">
      <c r="AE1864" s="583"/>
      <c r="AF1864" s="583"/>
    </row>
    <row r="1865" spans="31:32" ht="18" customHeight="1">
      <c r="AE1865" s="583"/>
      <c r="AF1865" s="583"/>
    </row>
    <row r="1866" spans="31:32" ht="18" customHeight="1">
      <c r="AE1866" s="583"/>
      <c r="AF1866" s="583"/>
    </row>
    <row r="1867" spans="31:32" ht="18" customHeight="1">
      <c r="AE1867" s="583"/>
      <c r="AF1867" s="583"/>
    </row>
    <row r="1868" spans="31:32" ht="18" customHeight="1">
      <c r="AE1868" s="583"/>
      <c r="AF1868" s="583"/>
    </row>
    <row r="1869" spans="31:32" ht="18" customHeight="1">
      <c r="AE1869" s="583"/>
      <c r="AF1869" s="583"/>
    </row>
    <row r="1870" spans="31:32" ht="18" customHeight="1">
      <c r="AE1870" s="583"/>
      <c r="AF1870" s="583"/>
    </row>
    <row r="1871" spans="31:32" ht="18" customHeight="1">
      <c r="AE1871" s="583"/>
      <c r="AF1871" s="583"/>
    </row>
    <row r="1872" spans="31:32" ht="18" customHeight="1">
      <c r="AE1872" s="583"/>
      <c r="AF1872" s="583"/>
    </row>
    <row r="1873" spans="31:32" ht="18" customHeight="1">
      <c r="AE1873" s="583"/>
      <c r="AF1873" s="583"/>
    </row>
    <row r="1874" spans="31:32" ht="18" customHeight="1">
      <c r="AE1874" s="583"/>
      <c r="AF1874" s="583"/>
    </row>
    <row r="1875" spans="31:32" ht="18" customHeight="1">
      <c r="AE1875" s="583"/>
      <c r="AF1875" s="583"/>
    </row>
    <row r="1876" spans="31:32" ht="18" customHeight="1">
      <c r="AE1876" s="583"/>
      <c r="AF1876" s="583"/>
    </row>
    <row r="1877" spans="31:32" ht="18" customHeight="1">
      <c r="AE1877" s="583"/>
      <c r="AF1877" s="583"/>
    </row>
    <row r="1878" spans="31:32" ht="18" customHeight="1">
      <c r="AE1878" s="583"/>
      <c r="AF1878" s="583"/>
    </row>
    <row r="1879" spans="31:32" ht="18" customHeight="1">
      <c r="AE1879" s="583"/>
      <c r="AF1879" s="583"/>
    </row>
    <row r="1880" spans="31:32" ht="18" customHeight="1">
      <c r="AE1880" s="583"/>
      <c r="AF1880" s="583"/>
    </row>
    <row r="1881" spans="31:32" ht="18" customHeight="1">
      <c r="AE1881" s="583"/>
      <c r="AF1881" s="583"/>
    </row>
    <row r="1882" spans="31:32" ht="18" customHeight="1">
      <c r="AE1882" s="583"/>
      <c r="AF1882" s="583"/>
    </row>
    <row r="1883" spans="31:32" ht="18" customHeight="1">
      <c r="AE1883" s="583"/>
      <c r="AF1883" s="583"/>
    </row>
    <row r="1884" spans="31:32" ht="18" customHeight="1">
      <c r="AE1884" s="583"/>
      <c r="AF1884" s="583"/>
    </row>
    <row r="1885" spans="31:32" ht="18" customHeight="1">
      <c r="AE1885" s="583"/>
      <c r="AF1885" s="583"/>
    </row>
    <row r="1886" spans="31:32" ht="18" customHeight="1">
      <c r="AE1886" s="583"/>
      <c r="AF1886" s="583"/>
    </row>
    <row r="1887" spans="31:32" ht="18" customHeight="1">
      <c r="AE1887" s="583"/>
      <c r="AF1887" s="583"/>
    </row>
    <row r="1888" spans="31:32" ht="18" customHeight="1">
      <c r="AE1888" s="583"/>
      <c r="AF1888" s="583"/>
    </row>
    <row r="1889" spans="31:32" ht="18" customHeight="1">
      <c r="AE1889" s="583"/>
      <c r="AF1889" s="583"/>
    </row>
    <row r="1890" spans="31:32" ht="18" customHeight="1">
      <c r="AE1890" s="583"/>
      <c r="AF1890" s="583"/>
    </row>
    <row r="1891" spans="31:32" ht="18" customHeight="1">
      <c r="AE1891" s="583"/>
      <c r="AF1891" s="583"/>
    </row>
    <row r="1892" spans="31:32" ht="18" customHeight="1">
      <c r="AE1892" s="583"/>
      <c r="AF1892" s="583"/>
    </row>
    <row r="1893" spans="31:32" ht="18" customHeight="1">
      <c r="AE1893" s="583"/>
      <c r="AF1893" s="583"/>
    </row>
    <row r="1894" spans="31:32" ht="18" customHeight="1">
      <c r="AE1894" s="583"/>
      <c r="AF1894" s="583"/>
    </row>
    <row r="1895" spans="31:32" ht="18" customHeight="1">
      <c r="AE1895" s="583"/>
      <c r="AF1895" s="583"/>
    </row>
    <row r="1896" spans="31:32" ht="18" customHeight="1">
      <c r="AE1896" s="583"/>
      <c r="AF1896" s="583"/>
    </row>
    <row r="1897" spans="31:32" ht="18" customHeight="1">
      <c r="AE1897" s="583"/>
      <c r="AF1897" s="583"/>
    </row>
    <row r="1898" spans="31:32" ht="18" customHeight="1">
      <c r="AE1898" s="583"/>
      <c r="AF1898" s="583"/>
    </row>
    <row r="1899" spans="31:32" ht="18" customHeight="1">
      <c r="AE1899" s="583"/>
      <c r="AF1899" s="583"/>
    </row>
    <row r="1900" spans="31:32" ht="18" customHeight="1">
      <c r="AE1900" s="583"/>
      <c r="AF1900" s="583"/>
    </row>
    <row r="1901" spans="31:32" ht="18" customHeight="1">
      <c r="AE1901" s="583"/>
      <c r="AF1901" s="583"/>
    </row>
    <row r="1902" spans="31:32" ht="18" customHeight="1">
      <c r="AE1902" s="583"/>
      <c r="AF1902" s="583"/>
    </row>
    <row r="1903" spans="31:32" ht="18" customHeight="1">
      <c r="AE1903" s="583"/>
      <c r="AF1903" s="583"/>
    </row>
    <row r="1904" spans="31:32" ht="18" customHeight="1">
      <c r="AE1904" s="583"/>
      <c r="AF1904" s="583"/>
    </row>
    <row r="1905" spans="31:32" ht="18" customHeight="1">
      <c r="AE1905" s="583"/>
      <c r="AF1905" s="583"/>
    </row>
    <row r="1906" spans="31:32" ht="18" customHeight="1">
      <c r="AE1906" s="583"/>
      <c r="AF1906" s="583"/>
    </row>
    <row r="1907" spans="31:32" ht="18" customHeight="1">
      <c r="AE1907" s="583"/>
      <c r="AF1907" s="583"/>
    </row>
    <row r="1908" spans="31:32" ht="18" customHeight="1">
      <c r="AE1908" s="583"/>
      <c r="AF1908" s="583"/>
    </row>
    <row r="1909" spans="31:32" ht="18" customHeight="1">
      <c r="AE1909" s="583"/>
      <c r="AF1909" s="583"/>
    </row>
    <row r="1910" spans="31:32" ht="18" customHeight="1">
      <c r="AE1910" s="583"/>
      <c r="AF1910" s="583"/>
    </row>
    <row r="1911" spans="31:32" ht="18" customHeight="1">
      <c r="AE1911" s="583"/>
      <c r="AF1911" s="583"/>
    </row>
    <row r="1912" spans="31:32" ht="18" customHeight="1">
      <c r="AE1912" s="583"/>
      <c r="AF1912" s="583"/>
    </row>
    <row r="1913" spans="31:32" ht="18" customHeight="1">
      <c r="AE1913" s="583"/>
      <c r="AF1913" s="583"/>
    </row>
    <row r="1914" spans="31:32" ht="18" customHeight="1">
      <c r="AE1914" s="583"/>
      <c r="AF1914" s="583"/>
    </row>
    <row r="1915" spans="31:32" ht="18" customHeight="1">
      <c r="AE1915" s="583"/>
      <c r="AF1915" s="583"/>
    </row>
    <row r="1916" spans="31:32" ht="18" customHeight="1">
      <c r="AE1916" s="583"/>
      <c r="AF1916" s="583"/>
    </row>
    <row r="1917" spans="31:32" ht="18" customHeight="1">
      <c r="AE1917" s="583"/>
      <c r="AF1917" s="583"/>
    </row>
    <row r="1918" spans="31:32" ht="18" customHeight="1">
      <c r="AE1918" s="583"/>
      <c r="AF1918" s="583"/>
    </row>
    <row r="1919" spans="31:32" ht="18" customHeight="1">
      <c r="AE1919" s="583"/>
      <c r="AF1919" s="583"/>
    </row>
    <row r="1920" spans="31:32" ht="18" customHeight="1">
      <c r="AE1920" s="583"/>
      <c r="AF1920" s="583"/>
    </row>
    <row r="1921" spans="31:32" ht="18" customHeight="1">
      <c r="AE1921" s="583"/>
      <c r="AF1921" s="583"/>
    </row>
    <row r="1922" spans="31:32" ht="18" customHeight="1">
      <c r="AE1922" s="583"/>
      <c r="AF1922" s="583"/>
    </row>
    <row r="1923" spans="31:32" ht="18" customHeight="1">
      <c r="AE1923" s="583"/>
      <c r="AF1923" s="583"/>
    </row>
    <row r="1924" spans="31:32" ht="18" customHeight="1">
      <c r="AE1924" s="583"/>
      <c r="AF1924" s="583"/>
    </row>
    <row r="1925" spans="31:32" ht="18" customHeight="1">
      <c r="AE1925" s="583"/>
      <c r="AF1925" s="583"/>
    </row>
    <row r="1926" spans="31:32" ht="18" customHeight="1">
      <c r="AE1926" s="583"/>
      <c r="AF1926" s="583"/>
    </row>
    <row r="1927" spans="31:32" ht="18" customHeight="1">
      <c r="AE1927" s="583"/>
      <c r="AF1927" s="583"/>
    </row>
    <row r="1928" spans="31:32" ht="18" customHeight="1">
      <c r="AE1928" s="583"/>
      <c r="AF1928" s="583"/>
    </row>
    <row r="1929" spans="31:32" ht="18" customHeight="1">
      <c r="AE1929" s="583"/>
      <c r="AF1929" s="583"/>
    </row>
    <row r="1930" spans="31:32" ht="18" customHeight="1">
      <c r="AE1930" s="583"/>
      <c r="AF1930" s="583"/>
    </row>
    <row r="1931" spans="31:32" ht="18" customHeight="1">
      <c r="AE1931" s="583"/>
      <c r="AF1931" s="583"/>
    </row>
    <row r="1932" spans="31:32" ht="18" customHeight="1">
      <c r="AE1932" s="583"/>
      <c r="AF1932" s="583"/>
    </row>
    <row r="1933" spans="31:32" ht="18" customHeight="1">
      <c r="AE1933" s="583"/>
      <c r="AF1933" s="583"/>
    </row>
    <row r="1934" spans="31:32" ht="18" customHeight="1">
      <c r="AE1934" s="583"/>
      <c r="AF1934" s="583"/>
    </row>
    <row r="1935" spans="31:32" ht="18" customHeight="1">
      <c r="AE1935" s="583"/>
      <c r="AF1935" s="583"/>
    </row>
    <row r="1936" spans="31:32" ht="18" customHeight="1">
      <c r="AE1936" s="583"/>
      <c r="AF1936" s="583"/>
    </row>
    <row r="1937" spans="31:32" ht="18" customHeight="1">
      <c r="AE1937" s="583"/>
      <c r="AF1937" s="583"/>
    </row>
    <row r="1938" spans="31:32" ht="18" customHeight="1">
      <c r="AE1938" s="583"/>
      <c r="AF1938" s="583"/>
    </row>
    <row r="1939" spans="31:32" ht="18" customHeight="1">
      <c r="AE1939" s="583"/>
      <c r="AF1939" s="583"/>
    </row>
    <row r="1940" spans="31:32" ht="18" customHeight="1">
      <c r="AE1940" s="583"/>
      <c r="AF1940" s="583"/>
    </row>
    <row r="1941" spans="31:32" ht="18" customHeight="1">
      <c r="AE1941" s="583"/>
      <c r="AF1941" s="583"/>
    </row>
    <row r="1942" spans="31:32" ht="18" customHeight="1">
      <c r="AE1942" s="583"/>
      <c r="AF1942" s="583"/>
    </row>
    <row r="1943" spans="31:32" ht="18" customHeight="1">
      <c r="AE1943" s="583"/>
      <c r="AF1943" s="583"/>
    </row>
    <row r="1944" spans="31:32" ht="18" customHeight="1">
      <c r="AE1944" s="583"/>
      <c r="AF1944" s="583"/>
    </row>
    <row r="1945" spans="31:32" ht="18" customHeight="1">
      <c r="AE1945" s="583"/>
      <c r="AF1945" s="583"/>
    </row>
    <row r="1946" spans="31:32" ht="18" customHeight="1">
      <c r="AE1946" s="583"/>
      <c r="AF1946" s="583"/>
    </row>
    <row r="1947" spans="31:32" ht="18" customHeight="1">
      <c r="AE1947" s="583"/>
      <c r="AF1947" s="583"/>
    </row>
    <row r="1948" spans="31:32" ht="18" customHeight="1">
      <c r="AE1948" s="583"/>
      <c r="AF1948" s="583"/>
    </row>
    <row r="1949" spans="31:32" ht="18" customHeight="1">
      <c r="AE1949" s="583"/>
      <c r="AF1949" s="583"/>
    </row>
    <row r="1950" spans="31:32" ht="18" customHeight="1">
      <c r="AE1950" s="583"/>
      <c r="AF1950" s="583"/>
    </row>
    <row r="1951" spans="31:32" ht="18" customHeight="1">
      <c r="AE1951" s="583"/>
      <c r="AF1951" s="583"/>
    </row>
    <row r="1952" spans="31:32" ht="18" customHeight="1">
      <c r="AE1952" s="583"/>
      <c r="AF1952" s="583"/>
    </row>
    <row r="1953" spans="31:32" ht="18" customHeight="1">
      <c r="AE1953" s="583"/>
      <c r="AF1953" s="583"/>
    </row>
    <row r="1954" spans="31:32" ht="18" customHeight="1">
      <c r="AE1954" s="583"/>
      <c r="AF1954" s="583"/>
    </row>
    <row r="1955" spans="31:32" ht="18" customHeight="1">
      <c r="AE1955" s="583"/>
      <c r="AF1955" s="583"/>
    </row>
    <row r="1956" spans="31:32" ht="18" customHeight="1">
      <c r="AE1956" s="583"/>
      <c r="AF1956" s="583"/>
    </row>
    <row r="1957" spans="31:32" ht="18" customHeight="1">
      <c r="AE1957" s="583"/>
      <c r="AF1957" s="583"/>
    </row>
    <row r="1958" spans="31:32" ht="18" customHeight="1">
      <c r="AE1958" s="583"/>
      <c r="AF1958" s="583"/>
    </row>
    <row r="1959" spans="31:32" ht="18" customHeight="1">
      <c r="AE1959" s="583"/>
      <c r="AF1959" s="583"/>
    </row>
    <row r="1960" spans="31:32" ht="18" customHeight="1">
      <c r="AE1960" s="583"/>
      <c r="AF1960" s="583"/>
    </row>
    <row r="1961" spans="31:32" ht="18" customHeight="1">
      <c r="AE1961" s="583"/>
      <c r="AF1961" s="583"/>
    </row>
    <row r="1962" spans="31:32" ht="18" customHeight="1">
      <c r="AE1962" s="583"/>
      <c r="AF1962" s="583"/>
    </row>
    <row r="1963" spans="31:32" ht="18" customHeight="1">
      <c r="AE1963" s="583"/>
      <c r="AF1963" s="583"/>
    </row>
    <row r="1964" spans="31:32" ht="18" customHeight="1">
      <c r="AE1964" s="583"/>
      <c r="AF1964" s="583"/>
    </row>
  </sheetData>
  <sheetProtection algorithmName="SHA-512" hashValue="JKovABTEtB1FubkOxSXUcYC6tZbR31B57kuW6ZYwtIH5lbLGMtjmkKswGUXEJou5rurJxOcWD7Y0AYR5JR5aZw==" saltValue="GAF8hpj0X2Yp3JGBFwSvNA==" spinCount="100000" sheet="1" objects="1" scenarios="1"/>
  <autoFilter ref="A8:AB551" xr:uid="{00000000-0009-0000-0000-000003000000}"/>
  <phoneticPr fontId="26" type="noConversion"/>
  <dataValidations count="1">
    <dataValidation type="list" allowBlank="1" showInputMessage="1" showErrorMessage="1" sqref="J534:J551 J366:J460 J468:J502 J9:J353" xr:uid="{5966C234-85B1-B644-AA01-13447D9228E4}">
      <formula1>code</formula1>
    </dataValidation>
  </dataValidations>
  <pageMargins left="0.59055118110236227" right="0.59055118110236227" top="0.59055118110236227" bottom="0.78740157480314965" header="0" footer="0"/>
  <pageSetup paperSize="9" scale="47" fitToHeight="0" orientation="portrait"/>
  <headerFoot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3E68-B918-7F40-B91F-BBC441912ED0}">
  <sheetPr>
    <tabColor theme="0" tint="-0.14999847407452621"/>
    <pageSetUpPr fitToPage="1"/>
  </sheetPr>
  <dimension ref="A1:O66"/>
  <sheetViews>
    <sheetView showGridLines="0" showZeros="0" showOutlineSymbols="0" zoomScaleNormal="100" zoomScalePageLayoutView="50" workbookViewId="0">
      <pane ySplit="11" topLeftCell="A12" activePane="bottomLeft" state="frozen"/>
      <selection activeCell="E41" sqref="E41"/>
      <selection pane="bottomLeft" activeCell="F31" sqref="F31"/>
    </sheetView>
  </sheetViews>
  <sheetFormatPr baseColWidth="10" defaultColWidth="11.5" defaultRowHeight="25" customHeight="1"/>
  <cols>
    <col min="1" max="1" width="35.83203125" style="231" customWidth="1"/>
    <col min="2" max="2" width="19.5" style="231" customWidth="1"/>
    <col min="3" max="3" width="19.33203125" style="231" bestFit="1" customWidth="1"/>
    <col min="4" max="4" width="2" style="231" customWidth="1"/>
    <col min="5" max="5" width="10.6640625" style="231" customWidth="1"/>
    <col min="6" max="6" width="11.83203125" style="231" customWidth="1"/>
    <col min="7" max="7" width="6" style="231" customWidth="1"/>
    <col min="8" max="8" width="27.5" style="231" customWidth="1"/>
    <col min="9" max="16384" width="11.5" style="231"/>
  </cols>
  <sheetData>
    <row r="1" spans="1:15" ht="25" customHeight="1">
      <c r="A1" s="621"/>
      <c r="B1" s="409"/>
      <c r="C1" s="232"/>
      <c r="D1" s="232"/>
      <c r="E1" s="232"/>
      <c r="F1" s="232"/>
      <c r="H1" s="699"/>
      <c r="I1" s="699"/>
      <c r="J1" s="699"/>
      <c r="K1" s="699"/>
      <c r="L1" s="699"/>
      <c r="M1" s="699"/>
      <c r="N1" s="699"/>
    </row>
    <row r="2" spans="1:15" ht="25" customHeight="1">
      <c r="A2" s="459"/>
      <c r="B2" s="377"/>
      <c r="C2" s="235"/>
      <c r="D2" s="377"/>
      <c r="E2" s="460"/>
      <c r="F2" s="461"/>
      <c r="H2" s="699"/>
      <c r="I2" s="699"/>
      <c r="J2" s="699"/>
      <c r="K2" s="699"/>
      <c r="L2" s="699"/>
      <c r="M2" s="699"/>
      <c r="N2" s="699"/>
    </row>
    <row r="3" spans="1:15" ht="25" customHeight="1">
      <c r="A3" s="639" t="str">
        <f>'1-Contractblad dag'!A3</f>
        <v>Naam opdrachtgever</v>
      </c>
      <c r="B3" s="233" t="str">
        <f>'1-Contractblad dag'!B3</f>
        <v>Gemeente Fryske Marren</v>
      </c>
      <c r="C3" s="463"/>
      <c r="D3" s="377"/>
      <c r="E3" s="273"/>
      <c r="F3" s="274"/>
      <c r="H3" s="699"/>
      <c r="I3" s="699"/>
      <c r="J3" s="699"/>
      <c r="K3" s="699"/>
      <c r="L3" s="699"/>
      <c r="M3" s="699"/>
      <c r="N3" s="699"/>
    </row>
    <row r="4" spans="1:15" ht="25" customHeight="1">
      <c r="A4" s="639" t="str">
        <f>'1-Contractblad dag'!A4</f>
        <v>Calculatie onderdeel</v>
      </c>
      <c r="B4" s="464" t="s">
        <v>600</v>
      </c>
      <c r="C4" s="465"/>
      <c r="D4" s="466"/>
      <c r="E4" s="410"/>
      <c r="H4" s="699"/>
      <c r="I4" s="699"/>
      <c r="J4" s="699"/>
      <c r="K4" s="699"/>
      <c r="L4" s="699"/>
      <c r="M4" s="699"/>
      <c r="N4" s="699"/>
    </row>
    <row r="5" spans="1:15" ht="25" customHeight="1">
      <c r="A5" s="639" t="str">
        <f>'1-Contractblad dag'!A5</f>
        <v>Gebouw/plaats</v>
      </c>
      <c r="B5" s="233" t="str">
        <f>'1-Contractblad dag'!B5</f>
        <v>Totaal</v>
      </c>
      <c r="C5" s="465"/>
      <c r="D5" s="466"/>
      <c r="H5" s="699"/>
      <c r="I5" s="699"/>
      <c r="J5" s="699"/>
      <c r="K5" s="699"/>
      <c r="L5" s="699"/>
      <c r="M5" s="699"/>
      <c r="N5" s="699"/>
    </row>
    <row r="6" spans="1:15" ht="25" customHeight="1">
      <c r="A6" s="639" t="str">
        <f>'1-Contractblad dag'!A6</f>
        <v>Besteknummer</v>
      </c>
      <c r="B6" s="233" t="str">
        <f>'1-Contractblad dag'!B6</f>
        <v>Calculatie-GFM -2026.01 (prijspeil 1-1-2027)</v>
      </c>
      <c r="C6" s="465"/>
      <c r="D6" s="466"/>
      <c r="H6" s="411"/>
      <c r="I6" s="411"/>
      <c r="J6" s="411"/>
      <c r="K6" s="411"/>
      <c r="L6" s="411"/>
      <c r="M6" s="411"/>
      <c r="N6" s="411"/>
    </row>
    <row r="7" spans="1:15" ht="25" customHeight="1">
      <c r="A7" s="639" t="str">
        <f>'1-Contractblad dag'!A7</f>
        <v>Naam leverancier</v>
      </c>
      <c r="B7" s="233" t="str">
        <f>'1-Contractblad dag'!B7</f>
        <v>Vaste calculatie</v>
      </c>
      <c r="C7" s="465"/>
      <c r="D7" s="466"/>
      <c r="H7" s="411"/>
      <c r="I7" s="411"/>
      <c r="J7" s="411"/>
      <c r="K7" s="411"/>
      <c r="L7" s="411"/>
      <c r="M7" s="411"/>
      <c r="N7" s="411"/>
    </row>
    <row r="8" spans="1:15" ht="25" customHeight="1">
      <c r="A8" s="639" t="str">
        <f>'1-Contractblad dag'!A8</f>
        <v>Prijspeil</v>
      </c>
      <c r="B8" s="467">
        <f>'1-Contractblad dag'!B8</f>
        <v>46388</v>
      </c>
      <c r="C8" s="465"/>
      <c r="D8" s="466"/>
      <c r="K8" s="411"/>
      <c r="L8" s="411"/>
      <c r="M8" s="411"/>
      <c r="N8" s="411"/>
      <c r="O8" s="412"/>
    </row>
    <row r="9" spans="1:15" ht="25" customHeight="1">
      <c r="A9" s="639" t="str">
        <f>'1-Contractblad dag'!A9</f>
        <v>Bijzonderheden</v>
      </c>
      <c r="B9" s="233" t="str">
        <f>'1-Contractblad dag'!B9</f>
        <v>Vertrouwelijk</v>
      </c>
      <c r="C9" s="468"/>
      <c r="D9" s="466"/>
      <c r="E9" s="261"/>
      <c r="F9" s="262"/>
    </row>
    <row r="10" spans="1:15" ht="25" customHeight="1">
      <c r="A10" s="639"/>
      <c r="B10" s="233"/>
      <c r="C10" s="468"/>
      <c r="D10" s="466"/>
      <c r="E10" s="261"/>
      <c r="F10" s="262"/>
    </row>
    <row r="11" spans="1:15" s="412" customFormat="1" ht="30" customHeight="1">
      <c r="A11" s="279" t="s">
        <v>601</v>
      </c>
      <c r="B11" s="381"/>
      <c r="C11" s="469"/>
      <c r="D11" s="470"/>
      <c r="E11" s="700" t="s">
        <v>602</v>
      </c>
      <c r="F11" s="701"/>
      <c r="H11" s="279" t="s">
        <v>603</v>
      </c>
      <c r="I11" s="698" t="s">
        <v>604</v>
      </c>
      <c r="J11" s="698"/>
      <c r="K11" s="698"/>
      <c r="L11" s="698"/>
      <c r="M11" s="698"/>
      <c r="N11" s="698"/>
    </row>
    <row r="12" spans="1:15" ht="25" customHeight="1">
      <c r="A12" s="271"/>
      <c r="B12" s="275" t="s">
        <v>46</v>
      </c>
      <c r="C12" s="276" t="s">
        <v>46</v>
      </c>
      <c r="D12" s="466"/>
      <c r="E12" s="413"/>
      <c r="F12" s="263"/>
      <c r="H12" s="271"/>
      <c r="I12" s="270">
        <v>1</v>
      </c>
      <c r="J12" s="270">
        <v>2</v>
      </c>
      <c r="K12" s="270">
        <v>3</v>
      </c>
      <c r="L12" s="270">
        <v>4</v>
      </c>
      <c r="M12" s="270">
        <v>5</v>
      </c>
      <c r="N12" s="270">
        <v>6</v>
      </c>
    </row>
    <row r="13" spans="1:15" ht="25" customHeight="1">
      <c r="A13" s="271" t="s">
        <v>605</v>
      </c>
      <c r="B13" s="277"/>
      <c r="C13" s="278"/>
      <c r="D13" s="466"/>
      <c r="E13" s="414">
        <f>SUM(I47:N47)</f>
        <v>17.732000000000003</v>
      </c>
      <c r="F13" s="264"/>
      <c r="H13" s="271" t="s">
        <v>606</v>
      </c>
      <c r="I13" s="265">
        <v>12.48</v>
      </c>
      <c r="J13" s="265">
        <v>12.927200000000001</v>
      </c>
      <c r="K13" s="265">
        <v>13.426400000000001</v>
      </c>
      <c r="L13" s="265">
        <v>14.092000000000001</v>
      </c>
      <c r="M13" s="265">
        <v>14.632800000000001</v>
      </c>
      <c r="N13" s="265">
        <v>15.3712</v>
      </c>
    </row>
    <row r="14" spans="1:15" ht="25" customHeight="1">
      <c r="A14" s="271" t="s">
        <v>607</v>
      </c>
      <c r="B14" s="642"/>
      <c r="C14" s="471" t="s">
        <v>608</v>
      </c>
      <c r="D14" s="466"/>
      <c r="E14" s="419"/>
      <c r="F14" s="264"/>
      <c r="H14" s="271" t="s">
        <v>609</v>
      </c>
      <c r="I14" s="265">
        <v>13.249600000000001</v>
      </c>
      <c r="J14" s="265">
        <v>13.728</v>
      </c>
      <c r="K14" s="265">
        <v>14.258400000000002</v>
      </c>
      <c r="L14" s="265">
        <v>14.9656</v>
      </c>
      <c r="M14" s="265">
        <v>15.537599999999999</v>
      </c>
      <c r="N14" s="265">
        <v>16.327999999999999</v>
      </c>
    </row>
    <row r="15" spans="1:15" ht="25" customHeight="1">
      <c r="A15" s="415" t="s">
        <v>610</v>
      </c>
      <c r="B15" s="473"/>
      <c r="C15" s="472"/>
      <c r="D15" s="466"/>
      <c r="E15" s="419"/>
      <c r="F15" s="264"/>
      <c r="H15" s="271" t="s">
        <v>611</v>
      </c>
      <c r="I15" s="265">
        <v>14.0296</v>
      </c>
      <c r="J15" s="265">
        <v>14.5288</v>
      </c>
      <c r="K15" s="265">
        <v>15.090400000000001</v>
      </c>
      <c r="L15" s="265">
        <v>15.839200000000002</v>
      </c>
      <c r="M15" s="265">
        <v>16.4528</v>
      </c>
      <c r="N15" s="265">
        <v>17.284800000000001</v>
      </c>
    </row>
    <row r="16" spans="1:15" ht="25" customHeight="1">
      <c r="A16" s="243" t="s">
        <v>612</v>
      </c>
      <c r="B16" s="643"/>
      <c r="C16" s="644"/>
      <c r="D16" s="645"/>
      <c r="E16" s="416">
        <f>SUM(E13:E15)</f>
        <v>17.732000000000003</v>
      </c>
      <c r="F16" s="264"/>
      <c r="H16" s="271"/>
      <c r="I16" s="378"/>
      <c r="J16" s="378"/>
      <c r="K16" s="378"/>
      <c r="L16" s="378"/>
      <c r="M16" s="378"/>
      <c r="N16" s="379"/>
    </row>
    <row r="17" spans="1:14" ht="25" customHeight="1">
      <c r="A17" s="415"/>
      <c r="B17" s="474"/>
      <c r="C17" s="475"/>
      <c r="D17" s="466"/>
      <c r="E17" s="417"/>
      <c r="F17" s="264"/>
      <c r="H17" s="271"/>
      <c r="I17" s="378"/>
      <c r="J17" s="378"/>
      <c r="K17" s="378"/>
      <c r="L17" s="378"/>
      <c r="M17" s="378"/>
      <c r="N17" s="379"/>
    </row>
    <row r="18" spans="1:14" ht="25" customHeight="1">
      <c r="A18" s="418" t="s">
        <v>613</v>
      </c>
      <c r="B18" s="476"/>
      <c r="C18" s="646">
        <v>0.08</v>
      </c>
      <c r="D18" s="466"/>
      <c r="E18" s="419">
        <f>$C18*E16</f>
        <v>1.4185600000000003</v>
      </c>
      <c r="F18" s="264"/>
      <c r="H18" s="271" t="s">
        <v>614</v>
      </c>
      <c r="I18" s="265">
        <v>16.140799999999999</v>
      </c>
      <c r="J18" s="265">
        <v>16.723199999999999</v>
      </c>
      <c r="K18" s="265">
        <v>17.367999999999999</v>
      </c>
      <c r="L18" s="265">
        <v>18.231200000000001</v>
      </c>
      <c r="M18" s="265">
        <v>18.928000000000001</v>
      </c>
      <c r="N18" s="265">
        <v>19.884800000000002</v>
      </c>
    </row>
    <row r="19" spans="1:14" ht="25" customHeight="1">
      <c r="A19" s="418" t="s">
        <v>615</v>
      </c>
      <c r="B19" s="476"/>
      <c r="C19" s="646">
        <v>0.05</v>
      </c>
      <c r="D19" s="466"/>
      <c r="E19" s="419">
        <f>$C19*E16</f>
        <v>0.88660000000000017</v>
      </c>
      <c r="F19" s="264"/>
      <c r="H19" s="271" t="s">
        <v>616</v>
      </c>
      <c r="I19" s="265">
        <v>16.723199999999999</v>
      </c>
      <c r="J19" s="265">
        <v>17.295200000000001</v>
      </c>
      <c r="K19" s="265">
        <v>17.992000000000001</v>
      </c>
      <c r="L19" s="265">
        <v>18.865600000000001</v>
      </c>
      <c r="M19" s="265">
        <v>19.572800000000001</v>
      </c>
      <c r="N19" s="265">
        <v>20.5608</v>
      </c>
    </row>
    <row r="20" spans="1:14" ht="25" customHeight="1">
      <c r="A20" s="243" t="s">
        <v>617</v>
      </c>
      <c r="B20" s="478"/>
      <c r="C20" s="472"/>
      <c r="D20" s="466"/>
      <c r="E20" s="416">
        <f>SUM(E16:E19)</f>
        <v>20.037160000000004</v>
      </c>
      <c r="F20" s="479">
        <f>IF(E20=0,0,E20/E$48)</f>
        <v>0.51381278673317554</v>
      </c>
      <c r="H20" s="271" t="s">
        <v>618</v>
      </c>
      <c r="I20" s="265">
        <v>17.212</v>
      </c>
      <c r="J20" s="265">
        <v>17.856800000000003</v>
      </c>
      <c r="K20" s="265">
        <v>18.553599999999999</v>
      </c>
      <c r="L20" s="265">
        <v>19.479200000000002</v>
      </c>
      <c r="M20" s="265">
        <v>20.228000000000002</v>
      </c>
      <c r="N20" s="265">
        <v>21.236800000000002</v>
      </c>
    </row>
    <row r="21" spans="1:14" ht="25" customHeight="1">
      <c r="A21" s="415"/>
      <c r="B21" s="474"/>
      <c r="C21" s="475"/>
      <c r="D21" s="466"/>
      <c r="E21" s="417"/>
      <c r="F21" s="264"/>
      <c r="H21" s="271" t="s">
        <v>619</v>
      </c>
      <c r="I21" s="265">
        <v>17.732000000000003</v>
      </c>
      <c r="J21" s="265">
        <v>18.408000000000001</v>
      </c>
      <c r="K21" s="265">
        <v>19.177600000000002</v>
      </c>
      <c r="L21" s="265">
        <v>20.0824</v>
      </c>
      <c r="M21" s="265">
        <v>20.862400000000001</v>
      </c>
      <c r="N21" s="265">
        <v>21.912800000000001</v>
      </c>
    </row>
    <row r="22" spans="1:14" ht="25" customHeight="1">
      <c r="A22" s="420" t="s">
        <v>620</v>
      </c>
      <c r="B22" s="476"/>
      <c r="C22" s="475"/>
      <c r="D22" s="480"/>
      <c r="E22" s="421">
        <f>E20*0.96</f>
        <v>19.235673600000002</v>
      </c>
      <c r="F22" s="267"/>
      <c r="G22" s="422"/>
    </row>
    <row r="23" spans="1:14" s="422" customFormat="1" ht="25" customHeight="1">
      <c r="A23" s="418" t="s">
        <v>621</v>
      </c>
      <c r="B23" s="476"/>
      <c r="C23" s="481" t="s">
        <v>622</v>
      </c>
      <c r="D23" s="466"/>
      <c r="E23" s="419">
        <f>E22*'4-Premies en opslagen'!C26</f>
        <v>6.3913654292480002</v>
      </c>
      <c r="F23" s="264"/>
      <c r="G23" s="231"/>
      <c r="H23" s="279" t="s">
        <v>603</v>
      </c>
      <c r="I23" s="702" t="s">
        <v>623</v>
      </c>
      <c r="J23" s="703"/>
      <c r="K23" s="703"/>
      <c r="L23" s="703"/>
      <c r="M23" s="703"/>
      <c r="N23" s="704"/>
    </row>
    <row r="24" spans="1:14" ht="25" customHeight="1">
      <c r="A24" s="243" t="s">
        <v>624</v>
      </c>
      <c r="B24" s="640"/>
      <c r="C24" s="472"/>
      <c r="D24" s="466"/>
      <c r="E24" s="416">
        <f>E23+E20</f>
        <v>26.428525429248005</v>
      </c>
      <c r="F24" s="479">
        <f>IF(E24=0,0,E24/E$48)</f>
        <v>0.6777065362581578</v>
      </c>
      <c r="H24" s="271"/>
      <c r="I24" s="270">
        <v>1</v>
      </c>
      <c r="J24" s="270">
        <v>2</v>
      </c>
      <c r="K24" s="270">
        <v>3</v>
      </c>
      <c r="L24" s="270">
        <v>4</v>
      </c>
      <c r="M24" s="270">
        <v>5</v>
      </c>
      <c r="N24" s="270">
        <v>6</v>
      </c>
    </row>
    <row r="25" spans="1:14" ht="25" customHeight="1">
      <c r="A25" s="415"/>
      <c r="B25" s="478"/>
      <c r="C25" s="472"/>
      <c r="D25" s="466"/>
      <c r="E25" s="413"/>
      <c r="F25" s="264"/>
      <c r="H25" s="271" t="s">
        <v>606</v>
      </c>
      <c r="I25" s="423"/>
      <c r="J25" s="423"/>
      <c r="K25" s="423"/>
      <c r="L25" s="423"/>
      <c r="M25" s="423"/>
      <c r="N25" s="423"/>
    </row>
    <row r="26" spans="1:14" ht="25" customHeight="1">
      <c r="A26" s="418" t="s">
        <v>625</v>
      </c>
      <c r="B26" s="476"/>
      <c r="C26" s="481" t="s">
        <v>622</v>
      </c>
      <c r="D26" s="466"/>
      <c r="E26" s="419">
        <f>E24*'4-Premies en opslagen'!B55</f>
        <v>6.1084799341186429</v>
      </c>
      <c r="F26" s="264"/>
      <c r="H26" s="271" t="s">
        <v>609</v>
      </c>
      <c r="I26" s="423"/>
      <c r="J26" s="423"/>
      <c r="K26" s="423"/>
      <c r="L26" s="423"/>
      <c r="M26" s="423"/>
      <c r="N26" s="423"/>
    </row>
    <row r="27" spans="1:14" ht="25" customHeight="1">
      <c r="A27" s="243" t="s">
        <v>626</v>
      </c>
      <c r="B27" s="478"/>
      <c r="C27" s="472"/>
      <c r="D27" s="466"/>
      <c r="E27" s="416">
        <f>SUM(E24:E26)</f>
        <v>32.537005363366646</v>
      </c>
      <c r="F27" s="479">
        <f>IF(E27=0,0,E27/E$48)</f>
        <v>0.83434625454424149</v>
      </c>
      <c r="H27" s="271" t="s">
        <v>611</v>
      </c>
      <c r="I27" s="423"/>
      <c r="J27" s="423"/>
      <c r="K27" s="423"/>
      <c r="L27" s="423"/>
      <c r="M27" s="423"/>
      <c r="N27" s="423"/>
    </row>
    <row r="28" spans="1:14" ht="25" customHeight="1">
      <c r="A28" s="415"/>
      <c r="B28" s="478"/>
      <c r="C28" s="472"/>
      <c r="D28" s="466"/>
      <c r="E28" s="413"/>
      <c r="F28" s="264"/>
      <c r="H28" s="271"/>
      <c r="I28" s="423"/>
      <c r="J28" s="423"/>
      <c r="K28" s="423"/>
      <c r="L28" s="423"/>
      <c r="M28" s="423"/>
      <c r="N28" s="423"/>
    </row>
    <row r="29" spans="1:14" ht="25" customHeight="1">
      <c r="A29" s="415" t="s">
        <v>627</v>
      </c>
      <c r="B29" s="484"/>
      <c r="C29" s="471" t="s">
        <v>608</v>
      </c>
      <c r="D29" s="466"/>
      <c r="E29" s="419">
        <v>0.95</v>
      </c>
      <c r="F29" s="264">
        <v>0</v>
      </c>
      <c r="H29" s="271"/>
      <c r="I29" s="423"/>
      <c r="J29" s="423"/>
      <c r="K29" s="423"/>
      <c r="L29" s="423"/>
      <c r="M29" s="423"/>
      <c r="N29" s="423"/>
    </row>
    <row r="30" spans="1:14" ht="25" customHeight="1">
      <c r="A30" s="415" t="s">
        <v>628</v>
      </c>
      <c r="B30" s="485"/>
      <c r="C30" s="471" t="s">
        <v>608</v>
      </c>
      <c r="D30" s="466"/>
      <c r="E30" s="419">
        <v>0.65</v>
      </c>
      <c r="F30" s="264">
        <v>0</v>
      </c>
      <c r="H30" s="271" t="s">
        <v>614</v>
      </c>
      <c r="I30" s="423">
        <v>0</v>
      </c>
      <c r="J30" s="423"/>
      <c r="K30" s="423"/>
      <c r="L30" s="423"/>
      <c r="M30" s="423"/>
      <c r="N30" s="423"/>
    </row>
    <row r="31" spans="1:14" ht="25" customHeight="1">
      <c r="A31" s="415"/>
      <c r="B31" s="478"/>
      <c r="C31" s="472" t="s">
        <v>46</v>
      </c>
      <c r="D31" s="466"/>
      <c r="E31" s="419"/>
      <c r="F31" s="264"/>
      <c r="H31" s="271" t="s">
        <v>616</v>
      </c>
      <c r="I31" s="423"/>
      <c r="J31" s="423"/>
      <c r="K31" s="423"/>
      <c r="L31" s="423"/>
      <c r="M31" s="423"/>
      <c r="N31" s="423"/>
    </row>
    <row r="32" spans="1:14" ht="25" customHeight="1">
      <c r="A32" s="424"/>
      <c r="B32" s="487"/>
      <c r="C32" s="488" t="s">
        <v>46</v>
      </c>
      <c r="D32" s="466"/>
      <c r="E32" s="419"/>
      <c r="F32" s="264"/>
      <c r="H32" s="271" t="s">
        <v>618</v>
      </c>
      <c r="I32" s="423"/>
      <c r="J32" s="423"/>
      <c r="K32" s="423"/>
      <c r="L32" s="423"/>
      <c r="M32" s="423"/>
      <c r="N32" s="423"/>
    </row>
    <row r="33" spans="1:15" ht="25" customHeight="1">
      <c r="A33" s="243" t="s">
        <v>629</v>
      </c>
      <c r="B33" s="478"/>
      <c r="C33" s="472"/>
      <c r="D33" s="466"/>
      <c r="E33" s="416">
        <f>SUM(E27:E32)</f>
        <v>34.137005363366647</v>
      </c>
      <c r="F33" s="479">
        <f>IF(E33=0,0,E33/E$48)</f>
        <v>0.87537504598839233</v>
      </c>
      <c r="H33" s="271" t="s">
        <v>619</v>
      </c>
      <c r="I33" s="423">
        <v>1</v>
      </c>
      <c r="J33" s="423"/>
      <c r="K33" s="423"/>
      <c r="L33" s="423"/>
      <c r="M33" s="423"/>
      <c r="N33" s="423"/>
    </row>
    <row r="34" spans="1:15" ht="25" customHeight="1">
      <c r="A34" s="415"/>
      <c r="B34" s="478"/>
      <c r="C34" s="472"/>
      <c r="D34" s="466"/>
      <c r="E34" s="413"/>
      <c r="F34" s="264"/>
      <c r="H34" s="425" t="s">
        <v>630</v>
      </c>
      <c r="I34" s="426">
        <f t="shared" ref="I34:N34" si="0">SUM(I25:I33)</f>
        <v>1</v>
      </c>
      <c r="J34" s="426">
        <f t="shared" si="0"/>
        <v>0</v>
      </c>
      <c r="K34" s="426">
        <f t="shared" si="0"/>
        <v>0</v>
      </c>
      <c r="L34" s="426">
        <f t="shared" si="0"/>
        <v>0</v>
      </c>
      <c r="M34" s="426">
        <f t="shared" si="0"/>
        <v>0</v>
      </c>
      <c r="N34" s="426">
        <f t="shared" si="0"/>
        <v>0</v>
      </c>
      <c r="O34" s="427">
        <f>SUM(I34:N34)</f>
        <v>1</v>
      </c>
    </row>
    <row r="35" spans="1:15" ht="25" customHeight="1">
      <c r="A35" s="415" t="s">
        <v>631</v>
      </c>
      <c r="B35" s="478"/>
      <c r="C35" s="490"/>
      <c r="D35" s="466"/>
      <c r="E35" s="419">
        <v>0.75</v>
      </c>
      <c r="F35" s="268">
        <f t="shared" ref="F35:F43" si="1">E35/$E$48</f>
        <v>1.9232245989445691E-2</v>
      </c>
      <c r="H35" s="422"/>
      <c r="I35" s="422"/>
      <c r="J35" s="422"/>
      <c r="K35" s="422"/>
      <c r="L35" s="422"/>
      <c r="M35" s="422"/>
      <c r="N35" s="422"/>
    </row>
    <row r="36" spans="1:15" ht="25" customHeight="1">
      <c r="A36" s="415" t="s">
        <v>632</v>
      </c>
      <c r="B36" s="478"/>
      <c r="C36" s="490"/>
      <c r="D36" s="466"/>
      <c r="E36" s="419">
        <v>0.55000000000000004</v>
      </c>
      <c r="F36" s="268">
        <f t="shared" si="1"/>
        <v>1.4103647058926841E-2</v>
      </c>
      <c r="H36" s="279" t="s">
        <v>603</v>
      </c>
      <c r="I36" s="698" t="s">
        <v>633</v>
      </c>
      <c r="J36" s="698"/>
      <c r="K36" s="698"/>
      <c r="L36" s="698"/>
      <c r="M36" s="698"/>
      <c r="N36" s="698"/>
    </row>
    <row r="37" spans="1:15" ht="25" customHeight="1">
      <c r="A37" s="415" t="s">
        <v>634</v>
      </c>
      <c r="B37" s="478"/>
      <c r="C37" s="490"/>
      <c r="D37" s="466"/>
      <c r="E37" s="419">
        <v>0.4</v>
      </c>
      <c r="F37" s="268">
        <f t="shared" si="1"/>
        <v>1.0257197861037702E-2</v>
      </c>
      <c r="H37" s="271"/>
      <c r="I37" s="270">
        <v>1</v>
      </c>
      <c r="J37" s="270">
        <v>2</v>
      </c>
      <c r="K37" s="270">
        <v>3</v>
      </c>
      <c r="L37" s="270">
        <v>4</v>
      </c>
      <c r="M37" s="270">
        <v>5</v>
      </c>
      <c r="N37" s="270">
        <v>6</v>
      </c>
    </row>
    <row r="38" spans="1:15" ht="25" customHeight="1">
      <c r="A38" s="415" t="s">
        <v>635</v>
      </c>
      <c r="B38" s="478"/>
      <c r="C38" s="491"/>
      <c r="D38" s="466"/>
      <c r="E38" s="419">
        <v>0.5</v>
      </c>
      <c r="F38" s="268">
        <f t="shared" si="1"/>
        <v>1.2821497326297128E-2</v>
      </c>
      <c r="H38" s="271" t="s">
        <v>606</v>
      </c>
      <c r="I38" s="378">
        <f>I25*I13</f>
        <v>0</v>
      </c>
      <c r="J38" s="378">
        <f t="shared" ref="I38:N46" si="2">J25*J13</f>
        <v>0</v>
      </c>
      <c r="K38" s="378">
        <f t="shared" si="2"/>
        <v>0</v>
      </c>
      <c r="L38" s="378">
        <f t="shared" si="2"/>
        <v>0</v>
      </c>
      <c r="M38" s="378">
        <f t="shared" si="2"/>
        <v>0</v>
      </c>
      <c r="N38" s="379">
        <f t="shared" si="2"/>
        <v>0</v>
      </c>
      <c r="O38" s="422"/>
    </row>
    <row r="39" spans="1:15" ht="25" customHeight="1">
      <c r="A39" s="415" t="s">
        <v>636</v>
      </c>
      <c r="B39" s="478"/>
      <c r="C39" s="490"/>
      <c r="D39" s="466"/>
      <c r="E39" s="419">
        <v>0.3</v>
      </c>
      <c r="F39" s="268">
        <f t="shared" si="1"/>
        <v>7.6928983957782757E-3</v>
      </c>
      <c r="H39" s="271" t="s">
        <v>609</v>
      </c>
      <c r="I39" s="378">
        <f t="shared" si="2"/>
        <v>0</v>
      </c>
      <c r="J39" s="378">
        <f t="shared" si="2"/>
        <v>0</v>
      </c>
      <c r="K39" s="378">
        <f t="shared" si="2"/>
        <v>0</v>
      </c>
      <c r="L39" s="378">
        <f t="shared" si="2"/>
        <v>0</v>
      </c>
      <c r="M39" s="378">
        <f t="shared" si="2"/>
        <v>0</v>
      </c>
      <c r="N39" s="379">
        <f t="shared" si="2"/>
        <v>0</v>
      </c>
      <c r="O39" s="422"/>
    </row>
    <row r="40" spans="1:15" ht="25" customHeight="1">
      <c r="A40" s="415" t="s">
        <v>637</v>
      </c>
      <c r="B40" s="478"/>
      <c r="C40" s="491"/>
      <c r="D40" s="466"/>
      <c r="E40" s="419">
        <v>0.3</v>
      </c>
      <c r="F40" s="268">
        <f t="shared" si="1"/>
        <v>7.6928983957782757E-3</v>
      </c>
      <c r="H40" s="271" t="s">
        <v>611</v>
      </c>
      <c r="I40" s="378">
        <f t="shared" si="2"/>
        <v>0</v>
      </c>
      <c r="J40" s="378">
        <f t="shared" si="2"/>
        <v>0</v>
      </c>
      <c r="K40" s="378">
        <f t="shared" si="2"/>
        <v>0</v>
      </c>
      <c r="L40" s="378">
        <f t="shared" si="2"/>
        <v>0</v>
      </c>
      <c r="M40" s="378">
        <f t="shared" si="2"/>
        <v>0</v>
      </c>
      <c r="N40" s="379">
        <f t="shared" si="2"/>
        <v>0</v>
      </c>
      <c r="O40" s="422"/>
    </row>
    <row r="41" spans="1:15" ht="25" customHeight="1">
      <c r="A41" s="415" t="s">
        <v>638</v>
      </c>
      <c r="B41" s="478"/>
      <c r="C41" s="471"/>
      <c r="D41" s="466"/>
      <c r="E41" s="419">
        <v>0.3</v>
      </c>
      <c r="F41" s="268">
        <f t="shared" si="1"/>
        <v>7.6928983957782757E-3</v>
      </c>
      <c r="H41" s="271"/>
      <c r="I41" s="378"/>
      <c r="J41" s="378"/>
      <c r="K41" s="378"/>
      <c r="L41" s="378"/>
      <c r="M41" s="378"/>
      <c r="N41" s="379"/>
      <c r="O41" s="422"/>
    </row>
    <row r="42" spans="1:15" ht="25" customHeight="1">
      <c r="A42" s="415" t="s">
        <v>639</v>
      </c>
      <c r="B42" s="478"/>
      <c r="C42" s="471"/>
      <c r="D42" s="466"/>
      <c r="E42" s="419">
        <v>0.3</v>
      </c>
      <c r="F42" s="268">
        <f t="shared" si="1"/>
        <v>7.6928983957782757E-3</v>
      </c>
      <c r="H42" s="271"/>
      <c r="I42" s="378"/>
      <c r="J42" s="378"/>
      <c r="K42" s="378"/>
      <c r="L42" s="378"/>
      <c r="M42" s="378"/>
      <c r="N42" s="379"/>
      <c r="O42" s="422"/>
    </row>
    <row r="43" spans="1:15" ht="25" customHeight="1">
      <c r="A43" s="424"/>
      <c r="B43" s="487"/>
      <c r="C43" s="492"/>
      <c r="D43" s="466"/>
      <c r="E43" s="419"/>
      <c r="F43" s="264">
        <f t="shared" si="1"/>
        <v>0</v>
      </c>
      <c r="H43" s="271" t="s">
        <v>614</v>
      </c>
      <c r="I43" s="378">
        <f t="shared" si="2"/>
        <v>0</v>
      </c>
      <c r="J43" s="378">
        <f t="shared" si="2"/>
        <v>0</v>
      </c>
      <c r="K43" s="378">
        <f t="shared" si="2"/>
        <v>0</v>
      </c>
      <c r="L43" s="378">
        <f t="shared" si="2"/>
        <v>0</v>
      </c>
      <c r="M43" s="378">
        <f t="shared" si="2"/>
        <v>0</v>
      </c>
      <c r="N43" s="379">
        <f t="shared" si="2"/>
        <v>0</v>
      </c>
      <c r="O43" s="422"/>
    </row>
    <row r="44" spans="1:15" ht="25" customHeight="1">
      <c r="A44" s="243" t="s">
        <v>640</v>
      </c>
      <c r="B44" s="478"/>
      <c r="C44" s="472"/>
      <c r="D44" s="466"/>
      <c r="E44" s="416">
        <f>SUM(E33:E43)</f>
        <v>37.537005363366632</v>
      </c>
      <c r="F44" s="479">
        <f>IF(E44=0,0,E44/E$48)</f>
        <v>0.96256122780721232</v>
      </c>
      <c r="H44" s="271" t="s">
        <v>616</v>
      </c>
      <c r="I44" s="378">
        <f t="shared" si="2"/>
        <v>0</v>
      </c>
      <c r="J44" s="378">
        <f t="shared" si="2"/>
        <v>0</v>
      </c>
      <c r="K44" s="378">
        <f t="shared" si="2"/>
        <v>0</v>
      </c>
      <c r="L44" s="378">
        <f t="shared" si="2"/>
        <v>0</v>
      </c>
      <c r="M44" s="378">
        <f t="shared" si="2"/>
        <v>0</v>
      </c>
      <c r="N44" s="379">
        <f t="shared" si="2"/>
        <v>0</v>
      </c>
      <c r="O44" s="422"/>
    </row>
    <row r="45" spans="1:15" ht="25" customHeight="1">
      <c r="A45" s="415"/>
      <c r="B45" s="478"/>
      <c r="C45" s="472"/>
      <c r="D45" s="466"/>
      <c r="E45" s="413"/>
      <c r="F45" s="428"/>
      <c r="H45" s="271" t="s">
        <v>618</v>
      </c>
      <c r="I45" s="378">
        <f t="shared" si="2"/>
        <v>0</v>
      </c>
      <c r="J45" s="378">
        <f t="shared" si="2"/>
        <v>0</v>
      </c>
      <c r="K45" s="378">
        <f t="shared" si="2"/>
        <v>0</v>
      </c>
      <c r="L45" s="378">
        <f t="shared" si="2"/>
        <v>0</v>
      </c>
      <c r="M45" s="378">
        <f t="shared" si="2"/>
        <v>0</v>
      </c>
      <c r="N45" s="379">
        <f t="shared" si="2"/>
        <v>0</v>
      </c>
      <c r="O45" s="422"/>
    </row>
    <row r="46" spans="1:15" ht="25" customHeight="1">
      <c r="A46" s="415" t="s">
        <v>641</v>
      </c>
      <c r="B46" s="478"/>
      <c r="C46" s="491"/>
      <c r="D46" s="466"/>
      <c r="E46" s="419">
        <v>1.46</v>
      </c>
      <c r="F46" s="479">
        <f>(IF(E46=0,0,E46/E$48))</f>
        <v>3.7438772192787607E-2</v>
      </c>
      <c r="H46" s="271" t="s">
        <v>619</v>
      </c>
      <c r="I46" s="378">
        <f t="shared" si="2"/>
        <v>17.732000000000003</v>
      </c>
      <c r="J46" s="378">
        <f t="shared" si="2"/>
        <v>0</v>
      </c>
      <c r="K46" s="378">
        <f t="shared" si="2"/>
        <v>0</v>
      </c>
      <c r="L46" s="378">
        <f t="shared" si="2"/>
        <v>0</v>
      </c>
      <c r="M46" s="378">
        <f t="shared" si="2"/>
        <v>0</v>
      </c>
      <c r="N46" s="379">
        <f t="shared" si="2"/>
        <v>0</v>
      </c>
      <c r="O46" s="422"/>
    </row>
    <row r="47" spans="1:15" ht="25" customHeight="1">
      <c r="A47" s="415"/>
      <c r="B47" s="473"/>
      <c r="C47" s="472"/>
      <c r="D47" s="466"/>
      <c r="E47" s="413"/>
      <c r="F47" s="264"/>
      <c r="H47" s="425" t="s">
        <v>630</v>
      </c>
      <c r="I47" s="429">
        <f t="shared" ref="I47:N47" si="3">SUM(I38:I46)</f>
        <v>17.732000000000003</v>
      </c>
      <c r="J47" s="429">
        <f t="shared" si="3"/>
        <v>0</v>
      </c>
      <c r="K47" s="429">
        <f t="shared" si="3"/>
        <v>0</v>
      </c>
      <c r="L47" s="429">
        <f t="shared" si="3"/>
        <v>0</v>
      </c>
      <c r="M47" s="429">
        <f t="shared" si="3"/>
        <v>0</v>
      </c>
      <c r="N47" s="429">
        <f t="shared" si="3"/>
        <v>0</v>
      </c>
      <c r="O47" s="422"/>
    </row>
    <row r="48" spans="1:15" ht="25" customHeight="1">
      <c r="A48" s="243" t="s">
        <v>642</v>
      </c>
      <c r="B48" s="641"/>
      <c r="C48" s="494"/>
      <c r="D48" s="466"/>
      <c r="E48" s="430">
        <f>SUM(E44:E47)</f>
        <v>38.997005363366632</v>
      </c>
      <c r="F48" s="269">
        <f>SUM(F44:F47)</f>
        <v>0.99999999999999989</v>
      </c>
      <c r="H48" s="422"/>
      <c r="I48" s="422"/>
      <c r="J48" s="422"/>
      <c r="K48" s="422"/>
      <c r="L48" s="422"/>
      <c r="M48" s="422"/>
      <c r="N48" s="422"/>
      <c r="O48" s="422"/>
    </row>
    <row r="49" spans="1:15" ht="25" customHeight="1">
      <c r="C49" s="495"/>
      <c r="D49" s="466"/>
      <c r="F49" s="431"/>
      <c r="H49" s="422"/>
      <c r="I49" s="422"/>
      <c r="J49" s="422"/>
      <c r="K49" s="422"/>
      <c r="L49" s="422"/>
      <c r="M49" s="422"/>
      <c r="N49" s="422"/>
      <c r="O49" s="422"/>
    </row>
    <row r="50" spans="1:15" ht="25" customHeight="1">
      <c r="A50" s="432" t="s">
        <v>643</v>
      </c>
      <c r="B50" s="496"/>
      <c r="C50" s="497"/>
      <c r="D50" s="422"/>
      <c r="E50" s="433">
        <f>(E$27*1.3)+($E$48-$E$27)</f>
        <v>48.75810697237663</v>
      </c>
      <c r="F50" s="434"/>
      <c r="G50" s="422"/>
      <c r="H50" s="422"/>
      <c r="I50" s="422"/>
      <c r="J50" s="422"/>
      <c r="K50" s="422"/>
      <c r="L50" s="422"/>
      <c r="M50" s="422"/>
      <c r="N50" s="422"/>
      <c r="O50" s="422"/>
    </row>
    <row r="51" spans="1:15" s="422" customFormat="1" ht="25" customHeight="1">
      <c r="C51" s="498"/>
    </row>
    <row r="52" spans="1:15" s="422" customFormat="1" ht="25" customHeight="1">
      <c r="A52" s="432" t="s">
        <v>644</v>
      </c>
      <c r="B52" s="496"/>
      <c r="C52" s="497"/>
      <c r="E52" s="433">
        <f>(E$27*1.5)+($E$48-$E$27)</f>
        <v>55.265508045049955</v>
      </c>
      <c r="F52" s="434"/>
    </row>
    <row r="53" spans="1:15" s="422" customFormat="1" ht="25" customHeight="1">
      <c r="C53" s="498"/>
    </row>
    <row r="54" spans="1:15" s="422" customFormat="1" ht="25" customHeight="1">
      <c r="A54" s="432" t="s">
        <v>645</v>
      </c>
      <c r="B54" s="496"/>
      <c r="C54" s="497"/>
      <c r="E54" s="433">
        <f>(E$27*2.5)+($E$48-$E$27)</f>
        <v>87.802513408416587</v>
      </c>
    </row>
    <row r="55" spans="1:15" s="422" customFormat="1" ht="25" customHeight="1">
      <c r="C55" s="436"/>
      <c r="F55" s="435"/>
    </row>
    <row r="56" spans="1:15" s="422" customFormat="1" ht="25" customHeight="1">
      <c r="C56" s="436"/>
      <c r="F56" s="435"/>
    </row>
    <row r="57" spans="1:15" s="422" customFormat="1" ht="25" customHeight="1">
      <c r="C57" s="436"/>
      <c r="F57" s="435"/>
    </row>
    <row r="58" spans="1:15" s="422" customFormat="1" ht="25" customHeight="1">
      <c r="A58" s="231"/>
      <c r="C58" s="436"/>
      <c r="F58" s="435"/>
    </row>
    <row r="59" spans="1:15" s="422" customFormat="1" ht="25" customHeight="1">
      <c r="C59" s="436"/>
      <c r="F59" s="435"/>
    </row>
    <row r="60" spans="1:15" s="422" customFormat="1" ht="25" customHeight="1">
      <c r="C60" s="436"/>
      <c r="F60" s="435"/>
    </row>
    <row r="61" spans="1:15" s="422" customFormat="1" ht="25" customHeight="1">
      <c r="C61" s="436"/>
      <c r="F61" s="435"/>
      <c r="H61" s="231"/>
      <c r="I61" s="231"/>
      <c r="J61" s="231"/>
      <c r="K61" s="231"/>
      <c r="L61" s="231"/>
      <c r="M61" s="231"/>
      <c r="N61" s="231"/>
    </row>
    <row r="62" spans="1:15" s="422" customFormat="1" ht="25" customHeight="1">
      <c r="C62" s="436"/>
      <c r="F62" s="435"/>
      <c r="H62" s="231"/>
      <c r="I62" s="231"/>
      <c r="J62" s="231"/>
      <c r="K62" s="231"/>
      <c r="L62" s="231"/>
      <c r="M62" s="231"/>
      <c r="N62" s="231"/>
    </row>
    <row r="63" spans="1:15" s="422" customFormat="1" ht="25" customHeight="1">
      <c r="C63" s="436"/>
      <c r="F63" s="435"/>
      <c r="H63" s="231"/>
      <c r="I63" s="231"/>
      <c r="J63" s="231"/>
      <c r="K63" s="231"/>
      <c r="L63" s="231"/>
      <c r="M63" s="231"/>
      <c r="N63" s="231"/>
    </row>
    <row r="64" spans="1:15" s="422" customFormat="1" ht="25" customHeight="1">
      <c r="C64" s="436"/>
      <c r="F64" s="435"/>
      <c r="H64" s="231"/>
      <c r="I64" s="231"/>
      <c r="J64" s="231"/>
      <c r="K64" s="231"/>
      <c r="L64" s="231"/>
      <c r="M64" s="231"/>
      <c r="N64" s="231"/>
    </row>
    <row r="65" spans="1:14" s="422" customFormat="1" ht="25" customHeight="1">
      <c r="C65" s="436"/>
      <c r="F65" s="435"/>
      <c r="H65" s="231"/>
      <c r="I65" s="231"/>
      <c r="J65" s="231"/>
      <c r="K65" s="231"/>
      <c r="L65" s="231"/>
      <c r="M65" s="231"/>
      <c r="N65" s="231"/>
    </row>
    <row r="66" spans="1:14" s="422" customFormat="1" ht="25" customHeight="1">
      <c r="A66" s="231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</row>
  </sheetData>
  <sheetProtection algorithmName="SHA-512" hashValue="InlvzcYhsvgTxuJa0f3AVEhqFWwtVGdTR/gib0iSiO0LaZwH32Jbm/GZKDSzeXimj4zNLTBlkp6BFwLzNTXTXQ==" saltValue="rRTE/dmOs1REp1kEnEH0mg==" spinCount="100000" sheet="1" objects="1" scenarios="1"/>
  <dataConsolidate/>
  <mergeCells count="7">
    <mergeCell ref="I36:N36"/>
    <mergeCell ref="H1:N2"/>
    <mergeCell ref="H3:N3"/>
    <mergeCell ref="H4:N5"/>
    <mergeCell ref="E11:F11"/>
    <mergeCell ref="I11:N11"/>
    <mergeCell ref="I23:N23"/>
  </mergeCells>
  <conditionalFormatting sqref="O34">
    <cfRule type="cellIs" dxfId="5" priority="1" operator="greaterThan">
      <formula>1</formula>
    </cfRule>
    <cfRule type="cellIs" dxfId="4" priority="2" operator="between">
      <formula>0.999999</formula>
      <formula>0</formula>
    </cfRule>
    <cfRule type="cellIs" dxfId="3" priority="3" operator="equal">
      <formula>1</formula>
    </cfRule>
  </conditionalFormatting>
  <pageMargins left="0.59055118110236227" right="0.59055118110236227" top="0.59055118110236227" bottom="0.78740157480314965" header="0" footer="0"/>
  <pageSetup paperSize="9" scale="30" fitToWidth="0" orientation="landscape" horizontalDpi="4294967292" verticalDpi="4294967292" r:id="rId1"/>
  <headerFooter>
    <oddFooter>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52C0-7F70-8548-BC76-4BF5A6FF0C8E}">
  <sheetPr>
    <tabColor theme="0" tint="-0.14999847407452621"/>
    <pageSetUpPr fitToPage="1"/>
  </sheetPr>
  <dimension ref="A1:O79"/>
  <sheetViews>
    <sheetView showGridLines="0" zoomScale="97" zoomScaleNormal="97" zoomScalePageLayoutView="50" workbookViewId="0">
      <pane ySplit="9" topLeftCell="A10" activePane="bottomLeft" state="frozen"/>
      <selection activeCell="B4" sqref="B4"/>
      <selection pane="bottomLeft" activeCell="Q16" sqref="Q16"/>
    </sheetView>
  </sheetViews>
  <sheetFormatPr baseColWidth="10" defaultColWidth="11.5" defaultRowHeight="25" customHeight="1"/>
  <cols>
    <col min="1" max="1" width="35.83203125" style="231" customWidth="1"/>
    <col min="2" max="2" width="19.5" style="231" customWidth="1"/>
    <col min="3" max="3" width="19.33203125" style="231" bestFit="1" customWidth="1"/>
    <col min="4" max="4" width="2" style="231" customWidth="1"/>
    <col min="5" max="5" width="11.6640625" style="231" customWidth="1"/>
    <col min="6" max="6" width="10.6640625" style="231" customWidth="1"/>
    <col min="7" max="7" width="6" style="231" customWidth="1"/>
    <col min="8" max="8" width="27.83203125" style="231" customWidth="1"/>
    <col min="9" max="15" width="11.5" style="231"/>
    <col min="16" max="16" width="33" style="231" customWidth="1"/>
    <col min="17" max="16384" width="11.5" style="231"/>
  </cols>
  <sheetData>
    <row r="1" spans="1:15" ht="25" customHeight="1">
      <c r="A1" s="621"/>
      <c r="B1" s="409"/>
      <c r="C1" s="232"/>
      <c r="D1" s="232"/>
      <c r="E1" s="232"/>
      <c r="F1" s="232"/>
      <c r="H1" s="699"/>
      <c r="I1" s="699"/>
      <c r="J1" s="699"/>
      <c r="K1" s="699"/>
      <c r="L1" s="699"/>
      <c r="M1" s="699"/>
      <c r="N1" s="699"/>
    </row>
    <row r="2" spans="1:15" ht="25" customHeight="1">
      <c r="A2" s="459"/>
      <c r="B2" s="377"/>
      <c r="C2" s="235"/>
      <c r="D2" s="377"/>
      <c r="E2" s="460"/>
      <c r="F2" s="461"/>
      <c r="H2" s="699"/>
      <c r="I2" s="699"/>
      <c r="J2" s="699"/>
      <c r="K2" s="699"/>
      <c r="L2" s="699"/>
      <c r="M2" s="699"/>
      <c r="N2" s="699"/>
    </row>
    <row r="3" spans="1:15" ht="25" customHeight="1">
      <c r="A3" s="462" t="str">
        <f>'1-Contractblad dag'!A3</f>
        <v>Naam opdrachtgever</v>
      </c>
      <c r="B3" s="233" t="str">
        <f>'1-Contractblad dag'!B3</f>
        <v>Gemeente Fryske Marren</v>
      </c>
      <c r="C3" s="463"/>
      <c r="D3" s="377"/>
      <c r="E3" s="273"/>
      <c r="F3" s="274"/>
      <c r="H3" s="699"/>
      <c r="I3" s="699"/>
      <c r="J3" s="699"/>
      <c r="K3" s="699"/>
      <c r="L3" s="699"/>
      <c r="M3" s="699"/>
      <c r="N3" s="699"/>
    </row>
    <row r="4" spans="1:15" ht="25" customHeight="1">
      <c r="A4" s="462" t="str">
        <f>'1-Contractblad dag'!A4</f>
        <v>Calculatie onderdeel</v>
      </c>
      <c r="B4" s="464" t="str">
        <f ca="1">MID(CELL("bestandsnaam",$C$9),SEARCH("]",CELL("bestandsnaam",$C$9),1)+1,256)</f>
        <v>6-Opbouw uurtarief toezicht</v>
      </c>
      <c r="C4" s="465"/>
      <c r="D4" s="466"/>
      <c r="H4" s="699"/>
      <c r="I4" s="699"/>
      <c r="J4" s="699"/>
      <c r="K4" s="699"/>
      <c r="L4" s="699"/>
      <c r="M4" s="699"/>
      <c r="N4" s="699"/>
    </row>
    <row r="5" spans="1:15" ht="25" customHeight="1">
      <c r="A5" s="462" t="str">
        <f>'1-Contractblad dag'!A5</f>
        <v>Gebouw/plaats</v>
      </c>
      <c r="B5" s="233" t="str">
        <f>'1-Contractblad dag'!B5</f>
        <v>Totaal</v>
      </c>
      <c r="C5" s="465"/>
      <c r="D5" s="466"/>
      <c r="H5" s="699"/>
      <c r="I5" s="699"/>
      <c r="J5" s="699"/>
      <c r="K5" s="699"/>
      <c r="L5" s="699"/>
      <c r="M5" s="699"/>
      <c r="N5" s="699"/>
    </row>
    <row r="6" spans="1:15" ht="25" customHeight="1">
      <c r="A6" s="462" t="str">
        <f>'1-Contractblad dag'!A6</f>
        <v>Besteknummer</v>
      </c>
      <c r="B6" s="233" t="str">
        <f>'1-Contractblad dag'!B6</f>
        <v>Calculatie-GFM -2026.01 (prijspeil 1-1-2027)</v>
      </c>
      <c r="C6" s="465"/>
      <c r="D6" s="466"/>
      <c r="H6" s="411"/>
      <c r="I6" s="411"/>
      <c r="J6" s="411"/>
      <c r="K6" s="411"/>
      <c r="L6" s="411"/>
      <c r="M6" s="411"/>
      <c r="N6" s="411"/>
    </row>
    <row r="7" spans="1:15" ht="25" customHeight="1">
      <c r="A7" s="462" t="str">
        <f>'1-Contractblad dag'!A7</f>
        <v>Naam leverancier</v>
      </c>
      <c r="B7" s="233" t="str">
        <f>'1-Contractblad dag'!B7</f>
        <v>Vaste calculatie</v>
      </c>
      <c r="C7" s="465"/>
      <c r="D7" s="466"/>
      <c r="H7" s="411"/>
      <c r="I7" s="411"/>
      <c r="J7" s="411"/>
      <c r="K7" s="411"/>
      <c r="L7" s="411"/>
      <c r="M7" s="411"/>
      <c r="N7" s="411"/>
      <c r="O7" s="412"/>
    </row>
    <row r="8" spans="1:15" ht="25" customHeight="1">
      <c r="A8" s="462" t="str">
        <f>'1-Contractblad dag'!A8</f>
        <v>Prijspeil</v>
      </c>
      <c r="B8" s="467">
        <f>'1-Contractblad dag'!B8</f>
        <v>46388</v>
      </c>
      <c r="C8" s="465"/>
      <c r="D8" s="466"/>
      <c r="K8" s="411"/>
      <c r="L8" s="411"/>
      <c r="M8" s="411"/>
      <c r="N8" s="411"/>
    </row>
    <row r="9" spans="1:15" ht="25" customHeight="1">
      <c r="A9" s="462" t="str">
        <f>'1-Contractblad dag'!A9</f>
        <v>Bijzonderheden</v>
      </c>
      <c r="B9" s="233" t="str">
        <f>'1-Contractblad dag'!B9</f>
        <v>Vertrouwelijk</v>
      </c>
      <c r="C9" s="468"/>
      <c r="D9" s="466"/>
      <c r="E9" s="261"/>
      <c r="F9" s="262"/>
    </row>
    <row r="10" spans="1:15" ht="25" customHeight="1">
      <c r="A10" s="462"/>
      <c r="B10" s="233"/>
      <c r="C10" s="468"/>
      <c r="D10" s="466"/>
      <c r="E10" s="261"/>
      <c r="F10" s="262"/>
    </row>
    <row r="11" spans="1:15" s="412" customFormat="1" ht="30" customHeight="1">
      <c r="A11" s="279" t="s">
        <v>646</v>
      </c>
      <c r="B11" s="381"/>
      <c r="C11" s="469"/>
      <c r="D11" s="470"/>
      <c r="E11" s="700" t="s">
        <v>647</v>
      </c>
      <c r="F11" s="705"/>
      <c r="H11" s="279" t="s">
        <v>603</v>
      </c>
      <c r="I11" s="698" t="s">
        <v>604</v>
      </c>
      <c r="J11" s="698"/>
      <c r="K11" s="698"/>
      <c r="L11" s="698"/>
      <c r="M11" s="698"/>
      <c r="N11" s="698"/>
    </row>
    <row r="12" spans="1:15" ht="25" customHeight="1">
      <c r="A12" s="271"/>
      <c r="B12" s="275" t="s">
        <v>46</v>
      </c>
      <c r="C12" s="276" t="s">
        <v>46</v>
      </c>
      <c r="D12" s="466"/>
      <c r="E12" s="413"/>
      <c r="F12" s="263"/>
      <c r="H12" s="271"/>
      <c r="I12" s="270">
        <v>1</v>
      </c>
      <c r="J12" s="270">
        <v>2</v>
      </c>
      <c r="K12" s="270">
        <v>3</v>
      </c>
      <c r="L12" s="270">
        <v>4</v>
      </c>
      <c r="M12" s="270">
        <v>5</v>
      </c>
      <c r="N12" s="270">
        <v>6</v>
      </c>
    </row>
    <row r="13" spans="1:15" ht="25" customHeight="1">
      <c r="A13" s="271" t="s">
        <v>648</v>
      </c>
      <c r="B13" s="277"/>
      <c r="C13" s="278"/>
      <c r="D13" s="466"/>
      <c r="E13" s="414">
        <f>SUM(I35:N35)</f>
        <v>20.862400000000001</v>
      </c>
      <c r="F13" s="264"/>
      <c r="H13" s="271"/>
      <c r="I13" s="378"/>
      <c r="J13" s="378"/>
      <c r="K13" s="378"/>
      <c r="L13" s="378"/>
      <c r="M13" s="378"/>
      <c r="N13" s="378"/>
    </row>
    <row r="14" spans="1:15" ht="25" customHeight="1">
      <c r="A14" s="271" t="s">
        <v>607</v>
      </c>
      <c r="B14" s="642"/>
      <c r="C14" s="471" t="s">
        <v>608</v>
      </c>
      <c r="D14" s="466"/>
      <c r="E14" s="419"/>
      <c r="F14" s="264"/>
      <c r="H14" s="271" t="s">
        <v>614</v>
      </c>
      <c r="I14" s="266">
        <f>'5-Opbouw uurtarief productie'!I18</f>
        <v>16.140799999999999</v>
      </c>
      <c r="J14" s="266">
        <f>'5-Opbouw uurtarief productie'!J18</f>
        <v>16.723199999999999</v>
      </c>
      <c r="K14" s="266">
        <f>'5-Opbouw uurtarief productie'!K18</f>
        <v>17.367999999999999</v>
      </c>
      <c r="L14" s="266">
        <f>'5-Opbouw uurtarief productie'!L18</f>
        <v>18.231200000000001</v>
      </c>
      <c r="M14" s="266">
        <f>'5-Opbouw uurtarief productie'!M18</f>
        <v>18.928000000000001</v>
      </c>
      <c r="N14" s="266">
        <f>'5-Opbouw uurtarief productie'!N18</f>
        <v>19.884800000000002</v>
      </c>
    </row>
    <row r="15" spans="1:15" ht="25" customHeight="1">
      <c r="A15" s="415" t="s">
        <v>610</v>
      </c>
      <c r="B15" s="473"/>
      <c r="C15" s="472"/>
      <c r="D15" s="466"/>
      <c r="E15" s="419"/>
      <c r="F15" s="264"/>
      <c r="H15" s="271" t="s">
        <v>616</v>
      </c>
      <c r="I15" s="266">
        <f>'5-Opbouw uurtarief productie'!I19</f>
        <v>16.723199999999999</v>
      </c>
      <c r="J15" s="266">
        <f>'5-Opbouw uurtarief productie'!J19</f>
        <v>17.295200000000001</v>
      </c>
      <c r="K15" s="266">
        <f>'5-Opbouw uurtarief productie'!K19</f>
        <v>17.992000000000001</v>
      </c>
      <c r="L15" s="266">
        <f>'5-Opbouw uurtarief productie'!L19</f>
        <v>18.865600000000001</v>
      </c>
      <c r="M15" s="266">
        <f>'5-Opbouw uurtarief productie'!M19</f>
        <v>19.572800000000001</v>
      </c>
      <c r="N15" s="266">
        <f>'5-Opbouw uurtarief productie'!N19</f>
        <v>20.5608</v>
      </c>
    </row>
    <row r="16" spans="1:15" ht="25" customHeight="1">
      <c r="A16" s="243" t="s">
        <v>612</v>
      </c>
      <c r="B16" s="473"/>
      <c r="C16" s="472"/>
      <c r="D16" s="466"/>
      <c r="E16" s="416">
        <f>SUM(E13:E15)</f>
        <v>20.862400000000001</v>
      </c>
      <c r="F16" s="264"/>
      <c r="H16" s="271" t="s">
        <v>618</v>
      </c>
      <c r="I16" s="266">
        <f>'5-Opbouw uurtarief productie'!I20</f>
        <v>17.212</v>
      </c>
      <c r="J16" s="266">
        <f>'5-Opbouw uurtarief productie'!J20</f>
        <v>17.856800000000003</v>
      </c>
      <c r="K16" s="266">
        <f>'5-Opbouw uurtarief productie'!K20</f>
        <v>18.553599999999999</v>
      </c>
      <c r="L16" s="266">
        <f>'5-Opbouw uurtarief productie'!L20</f>
        <v>19.479200000000002</v>
      </c>
      <c r="M16" s="266">
        <f>'5-Opbouw uurtarief productie'!M20</f>
        <v>20.228000000000002</v>
      </c>
      <c r="N16" s="266">
        <f>'5-Opbouw uurtarief productie'!N20</f>
        <v>21.236800000000002</v>
      </c>
    </row>
    <row r="17" spans="1:15" ht="25" customHeight="1">
      <c r="A17" s="415"/>
      <c r="B17" s="474"/>
      <c r="C17" s="475"/>
      <c r="D17" s="466"/>
      <c r="E17" s="417"/>
      <c r="F17" s="264"/>
      <c r="H17" s="271" t="s">
        <v>619</v>
      </c>
      <c r="I17" s="266">
        <f>'5-Opbouw uurtarief productie'!I21</f>
        <v>17.732000000000003</v>
      </c>
      <c r="J17" s="266">
        <f>'5-Opbouw uurtarief productie'!J21</f>
        <v>18.408000000000001</v>
      </c>
      <c r="K17" s="266">
        <f>'5-Opbouw uurtarief productie'!K21</f>
        <v>19.177600000000002</v>
      </c>
      <c r="L17" s="266">
        <f>'5-Opbouw uurtarief productie'!L21</f>
        <v>20.0824</v>
      </c>
      <c r="M17" s="266">
        <f>'5-Opbouw uurtarief productie'!M21</f>
        <v>20.862400000000001</v>
      </c>
      <c r="N17" s="266">
        <f>'5-Opbouw uurtarief productie'!N21</f>
        <v>21.912800000000001</v>
      </c>
    </row>
    <row r="18" spans="1:15" ht="25" customHeight="1">
      <c r="A18" s="418" t="s">
        <v>613</v>
      </c>
      <c r="B18" s="476"/>
      <c r="C18" s="646">
        <f>'5-Opbouw uurtarief productie'!C18</f>
        <v>0.08</v>
      </c>
      <c r="D18" s="466"/>
      <c r="E18" s="419">
        <f>$C18*E16</f>
        <v>1.668992</v>
      </c>
      <c r="F18" s="264"/>
      <c r="H18" s="234"/>
      <c r="I18" s="477"/>
      <c r="J18" s="477"/>
      <c r="K18" s="477"/>
      <c r="L18" s="477"/>
      <c r="M18" s="477"/>
      <c r="N18" s="477"/>
    </row>
    <row r="19" spans="1:15" ht="25" customHeight="1">
      <c r="A19" s="418" t="s">
        <v>615</v>
      </c>
      <c r="B19" s="476"/>
      <c r="C19" s="646">
        <f>'5-Opbouw uurtarief productie'!C19</f>
        <v>0.05</v>
      </c>
      <c r="D19" s="466"/>
      <c r="E19" s="419">
        <f>$C19*E16</f>
        <v>1.04312</v>
      </c>
      <c r="F19" s="264"/>
      <c r="H19" s="279" t="s">
        <v>603</v>
      </c>
      <c r="I19" s="702" t="s">
        <v>623</v>
      </c>
      <c r="J19" s="703"/>
      <c r="K19" s="703"/>
      <c r="L19" s="703"/>
      <c r="M19" s="703"/>
      <c r="N19" s="704"/>
    </row>
    <row r="20" spans="1:15" ht="25" customHeight="1">
      <c r="A20" s="243" t="s">
        <v>617</v>
      </c>
      <c r="B20" s="478"/>
      <c r="C20" s="472"/>
      <c r="D20" s="466"/>
      <c r="E20" s="416">
        <f>SUM(E16:E19)</f>
        <v>23.574511999999999</v>
      </c>
      <c r="F20" s="479">
        <f>IF(E20=0,0,E20/E$48)</f>
        <v>0.49982787570854598</v>
      </c>
      <c r="H20" s="271"/>
      <c r="I20" s="270">
        <v>1</v>
      </c>
      <c r="J20" s="270">
        <v>2</v>
      </c>
      <c r="K20" s="270">
        <v>3</v>
      </c>
      <c r="L20" s="270">
        <v>4</v>
      </c>
      <c r="M20" s="270">
        <v>5</v>
      </c>
      <c r="N20" s="270">
        <v>6</v>
      </c>
    </row>
    <row r="21" spans="1:15" ht="25" customHeight="1">
      <c r="A21" s="415"/>
      <c r="B21" s="474"/>
      <c r="C21" s="475"/>
      <c r="D21" s="466"/>
      <c r="E21" s="417"/>
      <c r="F21" s="264"/>
      <c r="H21" s="271"/>
      <c r="I21" s="423"/>
      <c r="J21" s="423"/>
      <c r="K21" s="423"/>
      <c r="L21" s="423"/>
      <c r="M21" s="423"/>
      <c r="N21" s="423"/>
    </row>
    <row r="22" spans="1:15" ht="25" customHeight="1">
      <c r="A22" s="647" t="s">
        <v>620</v>
      </c>
      <c r="B22" s="476"/>
      <c r="C22" s="475"/>
      <c r="D22" s="480"/>
      <c r="E22" s="648">
        <f>E20*0.96</f>
        <v>22.631531519999999</v>
      </c>
      <c r="F22" s="267"/>
      <c r="G22" s="422"/>
      <c r="H22" s="271" t="s">
        <v>614</v>
      </c>
      <c r="I22" s="423"/>
      <c r="J22" s="423"/>
      <c r="K22" s="423"/>
      <c r="L22" s="423"/>
      <c r="M22" s="423"/>
      <c r="N22" s="423"/>
    </row>
    <row r="23" spans="1:15" s="422" customFormat="1" ht="25" customHeight="1">
      <c r="A23" s="418" t="s">
        <v>621</v>
      </c>
      <c r="B23" s="476"/>
      <c r="C23" s="481" t="s">
        <v>622</v>
      </c>
      <c r="D23" s="466"/>
      <c r="E23" s="419">
        <f>E22*'4-Premies en opslagen'!G26</f>
        <v>7.6611785812735986</v>
      </c>
      <c r="F23" s="264"/>
      <c r="G23" s="231"/>
      <c r="H23" s="271" t="s">
        <v>616</v>
      </c>
      <c r="I23" s="423"/>
      <c r="J23" s="423"/>
      <c r="K23" s="423"/>
      <c r="L23" s="423"/>
      <c r="M23" s="423"/>
      <c r="N23" s="423"/>
      <c r="O23" s="231"/>
    </row>
    <row r="24" spans="1:15" ht="25" customHeight="1">
      <c r="A24" s="243" t="s">
        <v>624</v>
      </c>
      <c r="B24" s="478"/>
      <c r="C24" s="472"/>
      <c r="D24" s="466"/>
      <c r="E24" s="416">
        <f>E23+E20</f>
        <v>31.235690581273598</v>
      </c>
      <c r="F24" s="479">
        <f>IF(E24=0,0,E24/E$48)</f>
        <v>0.66226053245672367</v>
      </c>
      <c r="H24" s="271" t="s">
        <v>618</v>
      </c>
      <c r="I24" s="423"/>
      <c r="J24" s="423"/>
      <c r="K24" s="423"/>
      <c r="L24" s="423"/>
      <c r="M24" s="423"/>
      <c r="N24" s="423"/>
      <c r="O24" s="422"/>
    </row>
    <row r="25" spans="1:15" ht="25" customHeight="1">
      <c r="A25" s="415"/>
      <c r="B25" s="478"/>
      <c r="C25" s="472"/>
      <c r="D25" s="466"/>
      <c r="E25" s="413"/>
      <c r="F25" s="264"/>
      <c r="H25" s="271" t="s">
        <v>619</v>
      </c>
      <c r="I25" s="423"/>
      <c r="J25" s="423"/>
      <c r="K25" s="423"/>
      <c r="L25" s="423"/>
      <c r="M25" s="423">
        <v>1</v>
      </c>
      <c r="N25" s="423"/>
    </row>
    <row r="26" spans="1:15" ht="25" customHeight="1">
      <c r="A26" s="418" t="s">
        <v>625</v>
      </c>
      <c r="B26" s="476"/>
      <c r="C26" s="481" t="s">
        <v>622</v>
      </c>
      <c r="D26" s="466"/>
      <c r="E26" s="419">
        <f>E24*'4-Premies en opslagen'!B55</f>
        <v>7.2195699928415396</v>
      </c>
      <c r="F26" s="264"/>
      <c r="H26" s="425" t="s">
        <v>630</v>
      </c>
      <c r="I26" s="482">
        <f t="shared" ref="I26:N26" si="0">SUM(I21:I25)</f>
        <v>0</v>
      </c>
      <c r="J26" s="482">
        <f t="shared" si="0"/>
        <v>0</v>
      </c>
      <c r="K26" s="482">
        <f t="shared" si="0"/>
        <v>0</v>
      </c>
      <c r="L26" s="482">
        <f t="shared" si="0"/>
        <v>0</v>
      </c>
      <c r="M26" s="482">
        <f t="shared" si="0"/>
        <v>1</v>
      </c>
      <c r="N26" s="482">
        <f t="shared" si="0"/>
        <v>0</v>
      </c>
      <c r="O26" s="483">
        <f>SUM(I26:N26)</f>
        <v>1</v>
      </c>
    </row>
    <row r="27" spans="1:15" ht="25" customHeight="1">
      <c r="A27" s="243" t="s">
        <v>626</v>
      </c>
      <c r="B27" s="478"/>
      <c r="C27" s="472"/>
      <c r="D27" s="466"/>
      <c r="E27" s="416">
        <f>SUM(E24:E26)</f>
        <v>38.455260574115137</v>
      </c>
      <c r="F27" s="479">
        <f>IF(E27=0,0,E27/E$48)</f>
        <v>0.81533018382643807</v>
      </c>
    </row>
    <row r="28" spans="1:15" ht="25" customHeight="1">
      <c r="A28" s="415"/>
      <c r="B28" s="478"/>
      <c r="C28" s="472"/>
      <c r="D28" s="466"/>
      <c r="E28" s="413"/>
      <c r="F28" s="264"/>
      <c r="H28" s="279" t="s">
        <v>603</v>
      </c>
      <c r="I28" s="698" t="s">
        <v>633</v>
      </c>
      <c r="J28" s="698"/>
      <c r="K28" s="698"/>
      <c r="L28" s="698"/>
      <c r="M28" s="698"/>
      <c r="N28" s="698"/>
    </row>
    <row r="29" spans="1:15" ht="25" customHeight="1">
      <c r="A29" s="415" t="s">
        <v>627</v>
      </c>
      <c r="B29" s="484"/>
      <c r="C29" s="471" t="s">
        <v>608</v>
      </c>
      <c r="D29" s="466"/>
      <c r="E29" s="419">
        <f>'5-Opbouw uurtarief productie'!E29</f>
        <v>0.95</v>
      </c>
      <c r="F29" s="272">
        <v>0</v>
      </c>
      <c r="H29" s="271"/>
      <c r="I29" s="270">
        <v>1</v>
      </c>
      <c r="J29" s="270">
        <v>2</v>
      </c>
      <c r="K29" s="270">
        <v>3</v>
      </c>
      <c r="L29" s="270">
        <v>4</v>
      </c>
      <c r="M29" s="270">
        <v>5</v>
      </c>
      <c r="N29" s="270">
        <v>6</v>
      </c>
    </row>
    <row r="30" spans="1:15" ht="25" customHeight="1">
      <c r="A30" s="415" t="s">
        <v>628</v>
      </c>
      <c r="B30" s="485"/>
      <c r="C30" s="471" t="s">
        <v>608</v>
      </c>
      <c r="D30" s="466"/>
      <c r="E30" s="419">
        <f>'5-Opbouw uurtarief productie'!E30</f>
        <v>0.65</v>
      </c>
      <c r="F30" s="272">
        <v>0</v>
      </c>
      <c r="H30" s="271"/>
      <c r="I30" s="378"/>
      <c r="J30" s="378"/>
      <c r="K30" s="378"/>
      <c r="L30" s="378"/>
      <c r="M30" s="378"/>
      <c r="N30" s="379"/>
    </row>
    <row r="31" spans="1:15" ht="25" customHeight="1">
      <c r="A31" s="415"/>
      <c r="B31" s="478"/>
      <c r="C31" s="472" t="s">
        <v>46</v>
      </c>
      <c r="D31" s="466"/>
      <c r="E31" s="486"/>
      <c r="F31" s="264"/>
      <c r="H31" s="271" t="s">
        <v>614</v>
      </c>
      <c r="I31" s="378">
        <f t="shared" ref="I31:N34" si="1">I22*I14</f>
        <v>0</v>
      </c>
      <c r="J31" s="378">
        <f t="shared" si="1"/>
        <v>0</v>
      </c>
      <c r="K31" s="378">
        <f t="shared" si="1"/>
        <v>0</v>
      </c>
      <c r="L31" s="378">
        <f t="shared" si="1"/>
        <v>0</v>
      </c>
      <c r="M31" s="378">
        <f t="shared" si="1"/>
        <v>0</v>
      </c>
      <c r="N31" s="379">
        <f t="shared" si="1"/>
        <v>0</v>
      </c>
    </row>
    <row r="32" spans="1:15" ht="25" customHeight="1">
      <c r="A32" s="424"/>
      <c r="B32" s="487"/>
      <c r="C32" s="488" t="s">
        <v>46</v>
      </c>
      <c r="D32" s="466"/>
      <c r="E32" s="489"/>
      <c r="F32" s="264"/>
      <c r="H32" s="271" t="s">
        <v>616</v>
      </c>
      <c r="I32" s="378">
        <f t="shared" si="1"/>
        <v>0</v>
      </c>
      <c r="J32" s="378">
        <f t="shared" si="1"/>
        <v>0</v>
      </c>
      <c r="K32" s="378">
        <f t="shared" si="1"/>
        <v>0</v>
      </c>
      <c r="L32" s="378">
        <f t="shared" si="1"/>
        <v>0</v>
      </c>
      <c r="M32" s="378">
        <f t="shared" si="1"/>
        <v>0</v>
      </c>
      <c r="N32" s="379">
        <f t="shared" si="1"/>
        <v>0</v>
      </c>
    </row>
    <row r="33" spans="1:14" ht="25" customHeight="1">
      <c r="A33" s="243" t="s">
        <v>629</v>
      </c>
      <c r="B33" s="478"/>
      <c r="C33" s="472"/>
      <c r="D33" s="466"/>
      <c r="E33" s="416">
        <f>SUM(E27:E32)</f>
        <v>40.055260574115138</v>
      </c>
      <c r="F33" s="479">
        <f>IF(E33=0,0,E33/E$48)</f>
        <v>0.84925345660229346</v>
      </c>
      <c r="H33" s="271" t="s">
        <v>618</v>
      </c>
      <c r="I33" s="378">
        <f t="shared" si="1"/>
        <v>0</v>
      </c>
      <c r="J33" s="378">
        <f t="shared" si="1"/>
        <v>0</v>
      </c>
      <c r="K33" s="378">
        <f t="shared" si="1"/>
        <v>0</v>
      </c>
      <c r="L33" s="378">
        <f t="shared" si="1"/>
        <v>0</v>
      </c>
      <c r="M33" s="378">
        <f t="shared" si="1"/>
        <v>0</v>
      </c>
      <c r="N33" s="379">
        <f t="shared" si="1"/>
        <v>0</v>
      </c>
    </row>
    <row r="34" spans="1:14" ht="25" customHeight="1">
      <c r="A34" s="415"/>
      <c r="B34" s="478"/>
      <c r="C34" s="472"/>
      <c r="D34" s="466"/>
      <c r="E34" s="413"/>
      <c r="F34" s="264"/>
      <c r="H34" s="271" t="s">
        <v>619</v>
      </c>
      <c r="I34" s="378">
        <f t="shared" si="1"/>
        <v>0</v>
      </c>
      <c r="J34" s="378">
        <f t="shared" si="1"/>
        <v>0</v>
      </c>
      <c r="K34" s="378">
        <f t="shared" si="1"/>
        <v>0</v>
      </c>
      <c r="L34" s="378">
        <f t="shared" si="1"/>
        <v>0</v>
      </c>
      <c r="M34" s="378">
        <f t="shared" si="1"/>
        <v>20.862400000000001</v>
      </c>
      <c r="N34" s="379">
        <f t="shared" si="1"/>
        <v>0</v>
      </c>
    </row>
    <row r="35" spans="1:14" ht="25" customHeight="1">
      <c r="A35" s="415" t="s">
        <v>631</v>
      </c>
      <c r="B35" s="478"/>
      <c r="C35" s="490"/>
      <c r="D35" s="466"/>
      <c r="E35" s="419">
        <f>'5-Opbouw uurtarief productie'!E35</f>
        <v>0.75</v>
      </c>
      <c r="F35" s="268">
        <f>E35/$E$48</f>
        <v>1.5901534113682163E-2</v>
      </c>
      <c r="H35" s="425" t="s">
        <v>630</v>
      </c>
      <c r="I35" s="429">
        <f t="shared" ref="I35:N35" si="2">SUM(I30:I34)</f>
        <v>0</v>
      </c>
      <c r="J35" s="429">
        <f t="shared" si="2"/>
        <v>0</v>
      </c>
      <c r="K35" s="429">
        <f t="shared" si="2"/>
        <v>0</v>
      </c>
      <c r="L35" s="429">
        <f t="shared" si="2"/>
        <v>0</v>
      </c>
      <c r="M35" s="429">
        <f t="shared" si="2"/>
        <v>20.862400000000001</v>
      </c>
      <c r="N35" s="429">
        <f t="shared" si="2"/>
        <v>0</v>
      </c>
    </row>
    <row r="36" spans="1:14" ht="25" customHeight="1">
      <c r="A36" s="415" t="s">
        <v>632</v>
      </c>
      <c r="B36" s="478"/>
      <c r="C36" s="490"/>
      <c r="D36" s="466"/>
      <c r="E36" s="419">
        <f>'5-Opbouw uurtarief productie'!E36</f>
        <v>0.55000000000000004</v>
      </c>
      <c r="F36" s="268">
        <f t="shared" ref="F36:F42" si="3">E36/$E$48</f>
        <v>1.1661125016700254E-2</v>
      </c>
      <c r="H36" s="422"/>
      <c r="I36" s="422"/>
      <c r="J36" s="422"/>
      <c r="K36" s="422"/>
      <c r="L36" s="422"/>
      <c r="M36" s="422"/>
      <c r="N36" s="422"/>
    </row>
    <row r="37" spans="1:14" ht="25" customHeight="1">
      <c r="A37" s="415" t="s">
        <v>634</v>
      </c>
      <c r="B37" s="478"/>
      <c r="C37" s="490"/>
      <c r="D37" s="466"/>
      <c r="E37" s="419">
        <f>'5-Opbouw uurtarief productie'!E37</f>
        <v>0.4</v>
      </c>
      <c r="F37" s="268">
        <f t="shared" si="3"/>
        <v>8.48081819396382E-3</v>
      </c>
      <c r="H37" s="422"/>
      <c r="I37" s="422"/>
      <c r="J37" s="422"/>
      <c r="K37" s="422"/>
      <c r="L37" s="422"/>
      <c r="M37" s="422"/>
      <c r="N37" s="422"/>
    </row>
    <row r="38" spans="1:14" ht="25" customHeight="1">
      <c r="A38" s="415" t="s">
        <v>635</v>
      </c>
      <c r="B38" s="478"/>
      <c r="C38" s="491"/>
      <c r="D38" s="466"/>
      <c r="E38" s="419">
        <f>'5-Opbouw uurtarief productie'!E38</f>
        <v>0.5</v>
      </c>
      <c r="F38" s="268">
        <f t="shared" si="3"/>
        <v>1.0601022742454775E-2</v>
      </c>
      <c r="H38" s="422"/>
      <c r="I38" s="422"/>
      <c r="J38" s="422"/>
      <c r="K38" s="422"/>
      <c r="L38" s="422"/>
      <c r="M38" s="422"/>
      <c r="N38" s="422"/>
    </row>
    <row r="39" spans="1:14" ht="25" customHeight="1">
      <c r="A39" s="415" t="s">
        <v>636</v>
      </c>
      <c r="B39" s="478"/>
      <c r="C39" s="490"/>
      <c r="D39" s="466"/>
      <c r="E39" s="419">
        <f>'5-Opbouw uurtarief productie'!E39</f>
        <v>0.3</v>
      </c>
      <c r="F39" s="268">
        <f t="shared" si="3"/>
        <v>6.3606136454728646E-3</v>
      </c>
      <c r="H39" s="422"/>
      <c r="I39" s="422"/>
      <c r="J39" s="422"/>
      <c r="K39" s="422"/>
      <c r="L39" s="422"/>
      <c r="M39" s="422"/>
      <c r="N39" s="422"/>
    </row>
    <row r="40" spans="1:14" ht="25" customHeight="1">
      <c r="A40" s="415" t="s">
        <v>637</v>
      </c>
      <c r="B40" s="478"/>
      <c r="C40" s="491"/>
      <c r="D40" s="466"/>
      <c r="E40" s="419">
        <f>'5-Opbouw uurtarief productie'!E40</f>
        <v>0.3</v>
      </c>
      <c r="F40" s="268">
        <f t="shared" si="3"/>
        <v>6.3606136454728646E-3</v>
      </c>
      <c r="H40" s="422"/>
      <c r="I40" s="422"/>
      <c r="J40" s="422"/>
      <c r="K40" s="422"/>
      <c r="L40" s="422"/>
      <c r="M40" s="422"/>
      <c r="N40" s="422"/>
    </row>
    <row r="41" spans="1:14" ht="25" customHeight="1">
      <c r="A41" s="415" t="s">
        <v>649</v>
      </c>
      <c r="B41" s="478"/>
      <c r="C41" s="471" t="s">
        <v>608</v>
      </c>
      <c r="D41" s="466"/>
      <c r="E41" s="419">
        <v>2.25</v>
      </c>
      <c r="F41" s="268">
        <f t="shared" si="3"/>
        <v>4.7704602341046488E-2</v>
      </c>
      <c r="H41" s="422"/>
      <c r="I41" s="422"/>
      <c r="J41" s="422"/>
      <c r="K41" s="422"/>
      <c r="L41" s="422"/>
      <c r="M41" s="422"/>
      <c r="N41" s="422"/>
    </row>
    <row r="42" spans="1:14" ht="25" customHeight="1">
      <c r="A42" s="415" t="s">
        <v>639</v>
      </c>
      <c r="B42" s="478"/>
      <c r="C42" s="471"/>
      <c r="D42" s="466"/>
      <c r="E42" s="419">
        <f>'5-Opbouw uurtarief productie'!E42</f>
        <v>0.3</v>
      </c>
      <c r="F42" s="268">
        <f t="shared" si="3"/>
        <v>6.3606136454728646E-3</v>
      </c>
      <c r="H42" s="422"/>
      <c r="I42" s="422"/>
      <c r="J42" s="422"/>
      <c r="K42" s="422"/>
      <c r="L42" s="422"/>
      <c r="M42" s="422"/>
      <c r="N42" s="422"/>
    </row>
    <row r="43" spans="1:14" ht="25" customHeight="1">
      <c r="A43" s="424"/>
      <c r="B43" s="487"/>
      <c r="C43" s="492"/>
      <c r="D43" s="466"/>
      <c r="E43" s="489"/>
      <c r="F43" s="264"/>
      <c r="H43" s="422"/>
      <c r="I43" s="422"/>
      <c r="J43" s="422"/>
      <c r="K43" s="422"/>
      <c r="L43" s="422"/>
      <c r="M43" s="422"/>
      <c r="N43" s="422"/>
    </row>
    <row r="44" spans="1:14" ht="25" customHeight="1">
      <c r="A44" s="243" t="s">
        <v>640</v>
      </c>
      <c r="B44" s="478"/>
      <c r="C44" s="472"/>
      <c r="D44" s="466"/>
      <c r="E44" s="416">
        <f>SUM(E33:E43)</f>
        <v>45.405260574115125</v>
      </c>
      <c r="F44" s="479">
        <f>IF(E44=0,0,E44/E$48)</f>
        <v>0.96268439994655919</v>
      </c>
      <c r="H44" s="422"/>
      <c r="I44" s="422"/>
      <c r="J44" s="422"/>
      <c r="K44" s="422"/>
      <c r="L44" s="422"/>
      <c r="M44" s="422"/>
      <c r="N44" s="422"/>
    </row>
    <row r="45" spans="1:14" ht="25" customHeight="1">
      <c r="A45" s="415"/>
      <c r="B45" s="478"/>
      <c r="C45" s="472"/>
      <c r="D45" s="466"/>
      <c r="E45" s="413"/>
      <c r="F45" s="428"/>
      <c r="H45" s="422"/>
      <c r="I45" s="422"/>
      <c r="J45" s="422"/>
      <c r="K45" s="422"/>
      <c r="L45" s="422"/>
      <c r="M45" s="422"/>
      <c r="N45" s="422"/>
    </row>
    <row r="46" spans="1:14" ht="25" customHeight="1">
      <c r="A46" s="415" t="s">
        <v>641</v>
      </c>
      <c r="B46" s="478"/>
      <c r="C46" s="491"/>
      <c r="D46" s="466"/>
      <c r="E46" s="419">
        <v>1.76</v>
      </c>
      <c r="F46" s="479">
        <f>(IF(E46=0,0,E46/E$48))</f>
        <v>3.7315600053440812E-2</v>
      </c>
      <c r="H46" s="422"/>
      <c r="I46" s="422"/>
      <c r="J46" s="422"/>
      <c r="K46" s="422"/>
      <c r="L46" s="422"/>
      <c r="M46" s="422"/>
      <c r="N46" s="422"/>
    </row>
    <row r="47" spans="1:14" ht="25" customHeight="1">
      <c r="A47" s="415"/>
      <c r="B47" s="473"/>
      <c r="C47" s="472"/>
      <c r="D47" s="466"/>
      <c r="E47" s="413"/>
      <c r="F47" s="264"/>
      <c r="H47" s="422"/>
      <c r="I47" s="422"/>
      <c r="J47" s="422"/>
      <c r="K47" s="422"/>
      <c r="L47" s="422"/>
      <c r="M47" s="422"/>
      <c r="N47" s="422"/>
    </row>
    <row r="48" spans="1:14" ht="25" customHeight="1">
      <c r="A48" s="243" t="s">
        <v>642</v>
      </c>
      <c r="B48" s="493"/>
      <c r="C48" s="494"/>
      <c r="D48" s="466"/>
      <c r="E48" s="430">
        <f>SUM(E44:E47)</f>
        <v>47.165260574115123</v>
      </c>
      <c r="F48" s="269">
        <f>SUM(F44:F47)</f>
        <v>1</v>
      </c>
      <c r="H48" s="422"/>
      <c r="I48" s="422"/>
      <c r="J48" s="422"/>
      <c r="K48" s="422"/>
      <c r="L48" s="422"/>
      <c r="M48" s="422"/>
      <c r="N48" s="422"/>
    </row>
    <row r="49" spans="1:15" ht="25" customHeight="1">
      <c r="C49" s="495"/>
      <c r="D49" s="466"/>
      <c r="F49" s="431"/>
      <c r="H49" s="422"/>
      <c r="I49" s="422"/>
      <c r="J49" s="422"/>
      <c r="K49" s="422"/>
      <c r="L49" s="422"/>
      <c r="M49" s="422"/>
      <c r="N49" s="422"/>
    </row>
    <row r="50" spans="1:15" ht="25" customHeight="1">
      <c r="A50" s="432" t="s">
        <v>643</v>
      </c>
      <c r="B50" s="496"/>
      <c r="C50" s="497"/>
      <c r="D50" s="422"/>
      <c r="E50" s="433">
        <f>(E$27*1.3)+($E$48-$E$27)</f>
        <v>58.701838746349665</v>
      </c>
      <c r="F50" s="434"/>
      <c r="G50" s="422"/>
      <c r="H50" s="422"/>
      <c r="I50" s="422"/>
      <c r="J50" s="422"/>
      <c r="K50" s="422"/>
      <c r="L50" s="422"/>
      <c r="M50" s="422"/>
      <c r="N50" s="422"/>
    </row>
    <row r="51" spans="1:15" s="422" customFormat="1" ht="25" customHeight="1">
      <c r="C51" s="498"/>
    </row>
    <row r="52" spans="1:15" s="422" customFormat="1" ht="25" customHeight="1">
      <c r="A52" s="432" t="s">
        <v>644</v>
      </c>
      <c r="B52" s="496"/>
      <c r="C52" s="497"/>
      <c r="E52" s="433">
        <f>(E$27*1.5)+($E$48-$E$27)</f>
        <v>66.392890861172702</v>
      </c>
      <c r="F52" s="434"/>
    </row>
    <row r="53" spans="1:15" s="422" customFormat="1" ht="25" customHeight="1">
      <c r="C53" s="498"/>
    </row>
    <row r="54" spans="1:15" s="422" customFormat="1" ht="25" customHeight="1">
      <c r="A54" s="432" t="s">
        <v>645</v>
      </c>
      <c r="B54" s="496"/>
      <c r="C54" s="497"/>
      <c r="E54" s="433">
        <f>(E$27*2.5)+($E$48-$E$27)</f>
        <v>104.84815143528783</v>
      </c>
    </row>
    <row r="55" spans="1:15" s="422" customFormat="1" ht="25" customHeight="1">
      <c r="C55" s="436"/>
      <c r="F55" s="435"/>
    </row>
    <row r="56" spans="1:15" s="422" customFormat="1" ht="25" customHeight="1">
      <c r="C56" s="436"/>
      <c r="F56" s="435"/>
    </row>
    <row r="57" spans="1:15" s="422" customFormat="1" ht="25" customHeight="1">
      <c r="A57" s="231"/>
      <c r="C57" s="436"/>
      <c r="F57" s="435"/>
    </row>
    <row r="58" spans="1:15" s="422" customFormat="1" ht="25" customHeight="1">
      <c r="C58" s="436"/>
      <c r="F58" s="435"/>
    </row>
    <row r="59" spans="1:15" s="422" customFormat="1" ht="25" customHeight="1">
      <c r="C59" s="436"/>
      <c r="F59" s="435"/>
    </row>
    <row r="60" spans="1:15" s="422" customFormat="1" ht="25" customHeight="1">
      <c r="C60" s="436"/>
      <c r="F60" s="435"/>
    </row>
    <row r="61" spans="1:15" s="422" customFormat="1" ht="25" customHeight="1">
      <c r="C61" s="436"/>
      <c r="F61" s="435"/>
      <c r="H61" s="231"/>
      <c r="I61" s="231"/>
      <c r="J61" s="231"/>
      <c r="K61" s="231"/>
      <c r="L61" s="231"/>
      <c r="M61" s="231"/>
      <c r="N61" s="231"/>
    </row>
    <row r="62" spans="1:15" s="422" customFormat="1" ht="25" customHeight="1">
      <c r="C62" s="436"/>
      <c r="F62" s="435"/>
      <c r="H62" s="231"/>
      <c r="I62" s="231"/>
      <c r="J62" s="231"/>
      <c r="K62" s="231"/>
      <c r="L62" s="231"/>
      <c r="M62" s="231"/>
      <c r="N62" s="231"/>
    </row>
    <row r="63" spans="1:15" s="422" customFormat="1" ht="25" customHeight="1">
      <c r="C63" s="436"/>
      <c r="F63" s="435"/>
      <c r="H63" s="231"/>
      <c r="I63" s="231"/>
      <c r="J63" s="231"/>
      <c r="K63" s="231"/>
      <c r="L63" s="231"/>
      <c r="M63" s="231"/>
      <c r="N63" s="231"/>
      <c r="O63" s="231"/>
    </row>
    <row r="64" spans="1:15" s="422" customFormat="1" ht="25" customHeight="1">
      <c r="C64" s="436"/>
      <c r="F64" s="435"/>
      <c r="H64" s="231"/>
      <c r="I64" s="231"/>
      <c r="J64" s="231"/>
      <c r="K64" s="231"/>
      <c r="L64" s="231"/>
      <c r="M64" s="231"/>
      <c r="N64" s="231"/>
    </row>
    <row r="65" spans="1:15" s="422" customFormat="1" ht="25" customHeight="1">
      <c r="A65" s="231"/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</row>
    <row r="66" spans="1:15" ht="25" customHeight="1">
      <c r="O66" s="422"/>
    </row>
    <row r="67" spans="1:15" ht="25" customHeight="1">
      <c r="O67" s="422"/>
    </row>
    <row r="68" spans="1:15" ht="25" customHeight="1">
      <c r="O68" s="422"/>
    </row>
    <row r="69" spans="1:15" ht="25" customHeight="1">
      <c r="O69" s="422"/>
    </row>
    <row r="70" spans="1:15" ht="25" customHeight="1">
      <c r="O70" s="422"/>
    </row>
    <row r="71" spans="1:15" ht="25" customHeight="1">
      <c r="O71" s="422"/>
    </row>
    <row r="72" spans="1:15" ht="25" customHeight="1">
      <c r="O72" s="422"/>
    </row>
    <row r="73" spans="1:15" ht="25" customHeight="1">
      <c r="O73" s="422"/>
    </row>
    <row r="74" spans="1:15" ht="25" customHeight="1">
      <c r="O74" s="422"/>
    </row>
    <row r="75" spans="1:15" ht="25" customHeight="1">
      <c r="O75" s="422"/>
    </row>
    <row r="76" spans="1:15" ht="25" customHeight="1">
      <c r="O76" s="422"/>
    </row>
    <row r="77" spans="1:15" ht="25" customHeight="1">
      <c r="O77" s="422"/>
    </row>
    <row r="78" spans="1:15" ht="25" customHeight="1">
      <c r="O78" s="422"/>
    </row>
    <row r="79" spans="1:15" ht="25" customHeight="1">
      <c r="O79" s="422"/>
    </row>
  </sheetData>
  <sheetProtection algorithmName="SHA-512" hashValue="Oc0SBXgL3UjaToZFzTlQbwrgwoQovyM+GvONJckyDZqVKPZBqFITUVvRAkLNKeWTWcMAhrkYBCDAqVBIcClDDw==" saltValue="ypUE7Ow8doNvPgEMvWzkfg==" spinCount="100000" sheet="1" objects="1" scenarios="1"/>
  <mergeCells count="7">
    <mergeCell ref="I28:N28"/>
    <mergeCell ref="H1:N2"/>
    <mergeCell ref="H3:N3"/>
    <mergeCell ref="H4:N5"/>
    <mergeCell ref="E11:F11"/>
    <mergeCell ref="I11:N11"/>
    <mergeCell ref="I19:N19"/>
  </mergeCells>
  <conditionalFormatting sqref="O26">
    <cfRule type="cellIs" dxfId="2" priority="1" operator="greaterThan">
      <formula>1</formula>
    </cfRule>
    <cfRule type="cellIs" dxfId="1" priority="2" operator="between">
      <formula>0.999999</formula>
      <formula>0</formula>
    </cfRule>
    <cfRule type="cellIs" dxfId="0" priority="3" operator="equal">
      <formula>1</formula>
    </cfRule>
  </conditionalFormatting>
  <pageMargins left="0.59055118110236227" right="0.59055118110236227" top="0.59055118110236227" bottom="0.78740157480314965" header="0" footer="0"/>
  <pageSetup paperSize="9" scale="59" fitToHeight="0" orientation="landscape" r:id="rId1"/>
  <headerFooter>
    <oddFooter>&amp;F</oddFooter>
  </headerFooter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BBCA998B65146AFECE9E5849C1DD2" ma:contentTypeVersion="10" ma:contentTypeDescription="Een nieuw document maken." ma:contentTypeScope="" ma:versionID="296349ff40213e70d4a8c5dbbce8bea1">
  <xsd:schema xmlns:xsd="http://www.w3.org/2001/XMLSchema" xmlns:xs="http://www.w3.org/2001/XMLSchema" xmlns:p="http://schemas.microsoft.com/office/2006/metadata/properties" xmlns:ns2="d33096c4-68cc-4826-b7bb-92b1d9c94c58" xmlns:ns3="4243e4c0-7be1-4eaf-b0fa-9e070ecabf31" targetNamespace="http://schemas.microsoft.com/office/2006/metadata/properties" ma:root="true" ma:fieldsID="896f7d2f3ed36c3125103210f349f6d9" ns2:_="" ns3:_="">
    <xsd:import namespace="d33096c4-68cc-4826-b7bb-92b1d9c94c58"/>
    <xsd:import namespace="4243e4c0-7be1-4eaf-b0fa-9e070ecabf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096c4-68cc-4826-b7bb-92b1d9c94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173464ec-34f5-4c43-9a63-7ed45e054e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3e4c0-7be1-4eaf-b0fa-9e070ecabf3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38528fd-f28b-4e05-9161-39bf25b722c1}" ma:internalName="TaxCatchAll" ma:showField="CatchAllData" ma:web="4243e4c0-7be1-4eaf-b0fa-9e070ecab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43e4c0-7be1-4eaf-b0fa-9e070ecabf31" xsi:nil="true"/>
    <lcf76f155ced4ddcb4097134ff3c332f xmlns="d33096c4-68cc-4826-b7bb-92b1d9c94c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D380E6-2C1C-4195-A1DB-B0DCE6F867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3096c4-68cc-4826-b7bb-92b1d9c94c58"/>
    <ds:schemaRef ds:uri="4243e4c0-7be1-4eaf-b0fa-9e070ecab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E31DF4-3132-4CFE-89F2-97509AD9A8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F02D56-2B80-4FA3-AC98-3E8375E437C5}">
  <ds:schemaRefs>
    <ds:schemaRef ds:uri="http://schemas.microsoft.com/office/2006/metadata/properties"/>
    <ds:schemaRef ds:uri="http://purl.org/dc/elements/1.1/"/>
    <ds:schemaRef ds:uri="http://purl.org/dc/dcmitype/"/>
    <ds:schemaRef ds:uri="d33096c4-68cc-4826-b7bb-92b1d9c94c58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243e4c0-7be1-4eaf-b0fa-9e070ecabf3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8</vt:i4>
      </vt:variant>
    </vt:vector>
  </HeadingPairs>
  <TitlesOfParts>
    <vt:vector size="20" baseType="lpstr">
      <vt:lpstr>1-Contractblad dag</vt:lpstr>
      <vt:lpstr>1-Contractblad locatie</vt:lpstr>
      <vt:lpstr>Recap</vt:lpstr>
      <vt:lpstr>2-Kengetal</vt:lpstr>
      <vt:lpstr>Blad1</vt:lpstr>
      <vt:lpstr>4-Premies en opslagen</vt:lpstr>
      <vt:lpstr>3-Basis ruimtestaat</vt:lpstr>
      <vt:lpstr>5-Opbouw uurtarief productie</vt:lpstr>
      <vt:lpstr>6-Opbouw uurtarief toezicht</vt:lpstr>
      <vt:lpstr>7-Machine-investeringskosten</vt:lpstr>
      <vt:lpstr>8-Glasbewassing</vt:lpstr>
      <vt:lpstr>9-Additionele kosten</vt:lpstr>
      <vt:lpstr>code</vt:lpstr>
      <vt:lpstr>glas</vt:lpstr>
      <vt:lpstr>Kengetal</vt:lpstr>
      <vt:lpstr>locatie</vt:lpstr>
      <vt:lpstr>uren_mavr</vt:lpstr>
      <vt:lpstr>uren_naloop</vt:lpstr>
      <vt:lpstr>uren_naloopzazofe</vt:lpstr>
      <vt:lpstr>uren_zazofe</vt:lpstr>
    </vt:vector>
  </TitlesOfParts>
  <Manager/>
  <Company>FSA-ZZP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Singels</dc:creator>
  <cp:keywords/>
  <dc:description/>
  <cp:lastModifiedBy>Angela Mulder</cp:lastModifiedBy>
  <cp:revision/>
  <dcterms:created xsi:type="dcterms:W3CDTF">1999-10-05T12:28:40Z</dcterms:created>
  <dcterms:modified xsi:type="dcterms:W3CDTF">2026-08-21T14:20:35Z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0x010100F5CBBCA998B65146AFECE9E5849C1DD2</vt:lpwstr>
  </property>
  <property fmtid="{D5CDD505-2E9C-101B-9397-08002B2CF9AE}" pid="3" name="MediaServiceImageTags">
    <vt:lpwstr/>
  </property>
</Properties>
</file>