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almere.sharepoint.com/sites/GO-5ZNobelhorstFase5-Project/Gedeelde documenten/General/(Sjabloon) - 04 Exploitatie - Gronduitgifte en verwerving/Overeenkomsten opstellen en afsluiten/Tender fase 5 veld 28 en 29/Tenderleidraad/Bijlagen/"/>
    </mc:Choice>
  </mc:AlternateContent>
  <xr:revisionPtr revIDLastSave="0" documentId="8_{42B37FBD-C69E-4320-8BDD-82DCAC4145CC}" xr6:coauthVersionLast="47" xr6:coauthVersionMax="47" xr10:uidLastSave="{00000000-0000-0000-0000-000000000000}"/>
  <bookViews>
    <workbookView xWindow="-98" yWindow="-98" windowWidth="21795" windowHeight="13875" xr2:uid="{8DB215AE-F817-FD4C-9FA9-E926C06A2333}"/>
  </bookViews>
  <sheets>
    <sheet name="Parkeerbalans Fase 5" sheetId="1" r:id="rId1"/>
    <sheet name="Parkeernormen Auto" sheetId="2" r:id="rId2"/>
    <sheet name="Rekentool KDV &amp; BSO Basisschoo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" l="1"/>
  <c r="M29" i="1"/>
  <c r="N29" i="1"/>
  <c r="A29" i="1"/>
  <c r="AD5" i="3"/>
  <c r="AF5" i="3" s="1"/>
  <c r="O5" i="3"/>
  <c r="M24" i="1" s="1"/>
  <c r="L45" i="1"/>
  <c r="G45" i="1"/>
  <c r="G37" i="1"/>
  <c r="G19" i="1"/>
  <c r="Y38" i="1"/>
  <c r="X38" i="1"/>
  <c r="W38" i="1"/>
  <c r="V38" i="1"/>
  <c r="U38" i="1"/>
  <c r="T38" i="1"/>
  <c r="S38" i="1"/>
  <c r="Y12" i="1"/>
  <c r="X12" i="1"/>
  <c r="W12" i="1"/>
  <c r="V12" i="1"/>
  <c r="U12" i="1"/>
  <c r="T12" i="1"/>
  <c r="S12" i="1"/>
  <c r="Y4" i="1"/>
  <c r="X4" i="1"/>
  <c r="W4" i="1"/>
  <c r="V4" i="1"/>
  <c r="U4" i="1"/>
  <c r="T4" i="1"/>
  <c r="L11" i="1"/>
  <c r="L21" i="1" s="1"/>
  <c r="O53" i="1"/>
  <c r="O14" i="1"/>
  <c r="O21" i="1" s="1"/>
  <c r="AC3" i="2"/>
  <c r="AC4" i="2" s="1"/>
  <c r="AC5" i="2" s="1"/>
  <c r="AC6" i="2" s="1"/>
  <c r="AC7" i="2" s="1"/>
  <c r="AC8" i="2" s="1"/>
  <c r="G52" i="1"/>
  <c r="G51" i="1"/>
  <c r="G50" i="1"/>
  <c r="G49" i="1"/>
  <c r="G48" i="1"/>
  <c r="G44" i="1"/>
  <c r="G43" i="1"/>
  <c r="G42" i="1"/>
  <c r="G41" i="1"/>
  <c r="G40" i="1"/>
  <c r="G36" i="1"/>
  <c r="G35" i="1"/>
  <c r="G34" i="1"/>
  <c r="G33" i="1"/>
  <c r="G32" i="1"/>
  <c r="G27" i="1"/>
  <c r="G26" i="1"/>
  <c r="G25" i="1"/>
  <c r="G24" i="1"/>
  <c r="G18" i="1"/>
  <c r="G17" i="1"/>
  <c r="G16" i="1"/>
  <c r="G15" i="1"/>
  <c r="G14" i="1"/>
  <c r="G11" i="1"/>
  <c r="G10" i="1"/>
  <c r="G9" i="1"/>
  <c r="G8" i="1"/>
  <c r="G7" i="1"/>
  <c r="G6" i="1"/>
  <c r="G3" i="1"/>
  <c r="H30" i="3"/>
  <c r="D30" i="3"/>
  <c r="C30" i="3"/>
  <c r="H29" i="3"/>
  <c r="D29" i="3"/>
  <c r="C29" i="3"/>
  <c r="H25" i="3"/>
  <c r="D25" i="3"/>
  <c r="C25" i="3"/>
  <c r="H24" i="3"/>
  <c r="D24" i="3"/>
  <c r="C24" i="3"/>
  <c r="H20" i="3"/>
  <c r="D20" i="3"/>
  <c r="C20" i="3"/>
  <c r="H19" i="3"/>
  <c r="D19" i="3"/>
  <c r="C19" i="3"/>
  <c r="AJ14" i="3"/>
  <c r="AI14" i="3"/>
  <c r="AK14" i="3" s="1"/>
  <c r="AE14" i="3"/>
  <c r="AD14" i="3"/>
  <c r="Z14" i="3"/>
  <c r="Y14" i="3"/>
  <c r="AA14" i="3" s="1"/>
  <c r="T14" i="3"/>
  <c r="S14" i="3"/>
  <c r="U14" i="3" s="1"/>
  <c r="AJ13" i="3"/>
  <c r="AI13" i="3"/>
  <c r="AE13" i="3"/>
  <c r="AD13" i="3"/>
  <c r="Z13" i="3"/>
  <c r="Y13" i="3"/>
  <c r="T13" i="3"/>
  <c r="S13" i="3"/>
  <c r="U13" i="3" s="1"/>
  <c r="AJ12" i="3"/>
  <c r="AI12" i="3"/>
  <c r="AE12" i="3"/>
  <c r="AD12" i="3"/>
  <c r="Z12" i="3"/>
  <c r="Y12" i="3"/>
  <c r="T12" i="3"/>
  <c r="S12" i="3"/>
  <c r="AJ11" i="3"/>
  <c r="AI11" i="3"/>
  <c r="AK11" i="3" s="1"/>
  <c r="AE11" i="3"/>
  <c r="AD11" i="3"/>
  <c r="Z11" i="3"/>
  <c r="Y11" i="3"/>
  <c r="AA11" i="3" s="1"/>
  <c r="T11" i="3"/>
  <c r="S11" i="3"/>
  <c r="U11" i="3" s="1"/>
  <c r="AJ10" i="3"/>
  <c r="AI10" i="3"/>
  <c r="AK10" i="3" s="1"/>
  <c r="AE10" i="3"/>
  <c r="AD10" i="3"/>
  <c r="AF10" i="3" s="1"/>
  <c r="Z10" i="3"/>
  <c r="Y10" i="3"/>
  <c r="T10" i="3"/>
  <c r="S10" i="3"/>
  <c r="AJ9" i="3"/>
  <c r="AI9" i="3"/>
  <c r="AK9" i="3" s="1"/>
  <c r="AE9" i="3"/>
  <c r="AD9" i="3"/>
  <c r="Z9" i="3"/>
  <c r="Y9" i="3"/>
  <c r="AA9" i="3" s="1"/>
  <c r="T9" i="3"/>
  <c r="S9" i="3"/>
  <c r="U9" i="3" s="1"/>
  <c r="AJ8" i="3"/>
  <c r="AI8" i="3"/>
  <c r="AE8" i="3"/>
  <c r="AD8" i="3"/>
  <c r="AF8" i="3" s="1"/>
  <c r="Z8" i="3"/>
  <c r="Y8" i="3"/>
  <c r="T8" i="3"/>
  <c r="S8" i="3"/>
  <c r="AJ7" i="3"/>
  <c r="AI7" i="3"/>
  <c r="AK7" i="3" s="1"/>
  <c r="AE7" i="3"/>
  <c r="Z7" i="3"/>
  <c r="Y7" i="3"/>
  <c r="AD7" i="3"/>
  <c r="AF7" i="3" s="1"/>
  <c r="AJ6" i="3"/>
  <c r="AI6" i="3"/>
  <c r="AE6" i="3"/>
  <c r="AD6" i="3"/>
  <c r="AF6" i="3" s="1"/>
  <c r="Z6" i="3"/>
  <c r="Y6" i="3"/>
  <c r="AA6" i="3" s="1"/>
  <c r="T6" i="3"/>
  <c r="S6" i="3"/>
  <c r="AJ5" i="3"/>
  <c r="AI5" i="3"/>
  <c r="AE5" i="3"/>
  <c r="Z5" i="3"/>
  <c r="AA5" i="3" s="1"/>
  <c r="Y5" i="3"/>
  <c r="T5" i="3"/>
  <c r="S5" i="3"/>
  <c r="U5" i="3" s="1"/>
  <c r="T19" i="2"/>
  <c r="U19" i="2" s="1"/>
  <c r="V19" i="2" s="1"/>
  <c r="W19" i="2" s="1"/>
  <c r="X19" i="2" s="1"/>
  <c r="Y19" i="2" s="1"/>
  <c r="Z19" i="2" s="1"/>
  <c r="K18" i="2"/>
  <c r="I18" i="2"/>
  <c r="G18" i="2"/>
  <c r="E18" i="2"/>
  <c r="M17" i="2"/>
  <c r="K17" i="2"/>
  <c r="I17" i="2"/>
  <c r="G17" i="2"/>
  <c r="E17" i="2"/>
  <c r="C17" i="2"/>
  <c r="K16" i="2"/>
  <c r="I16" i="2"/>
  <c r="G16" i="2"/>
  <c r="E16" i="2"/>
  <c r="C16" i="2"/>
  <c r="K15" i="2"/>
  <c r="I15" i="2"/>
  <c r="G15" i="2"/>
  <c r="E15" i="2"/>
  <c r="C15" i="2"/>
  <c r="K14" i="2"/>
  <c r="I14" i="2"/>
  <c r="G14" i="2"/>
  <c r="E14" i="2"/>
  <c r="C14" i="2"/>
  <c r="M13" i="2"/>
  <c r="K13" i="2"/>
  <c r="I13" i="2"/>
  <c r="G13" i="2"/>
  <c r="E13" i="2"/>
  <c r="C13" i="2"/>
  <c r="M12" i="2"/>
  <c r="K12" i="2"/>
  <c r="I12" i="2"/>
  <c r="G12" i="2"/>
  <c r="E12" i="2"/>
  <c r="C12" i="2"/>
  <c r="M11" i="2"/>
  <c r="K11" i="2"/>
  <c r="I11" i="2"/>
  <c r="G11" i="2"/>
  <c r="E11" i="2"/>
  <c r="C11" i="2"/>
  <c r="M10" i="2"/>
  <c r="K10" i="2"/>
  <c r="I10" i="2"/>
  <c r="G10" i="2"/>
  <c r="E10" i="2"/>
  <c r="C10" i="2"/>
  <c r="O9" i="2"/>
  <c r="M9" i="2"/>
  <c r="K9" i="2"/>
  <c r="I9" i="2"/>
  <c r="G9" i="2"/>
  <c r="E9" i="2"/>
  <c r="C9" i="2"/>
  <c r="O8" i="2"/>
  <c r="M8" i="2"/>
  <c r="K8" i="2"/>
  <c r="I8" i="2"/>
  <c r="G8" i="2"/>
  <c r="E8" i="2"/>
  <c r="C8" i="2"/>
  <c r="M7" i="2"/>
  <c r="K7" i="2"/>
  <c r="I7" i="2"/>
  <c r="G7" i="2"/>
  <c r="E7" i="2"/>
  <c r="C7" i="2"/>
  <c r="M6" i="2"/>
  <c r="K6" i="2"/>
  <c r="I6" i="2"/>
  <c r="G6" i="2"/>
  <c r="E6" i="2"/>
  <c r="C6" i="2"/>
  <c r="M5" i="2"/>
  <c r="K5" i="2"/>
  <c r="I5" i="2"/>
  <c r="G5" i="2"/>
  <c r="E5" i="2"/>
  <c r="C5" i="2"/>
  <c r="O4" i="2"/>
  <c r="M4" i="2"/>
  <c r="K4" i="2"/>
  <c r="I4" i="2"/>
  <c r="G4" i="2"/>
  <c r="E4" i="2"/>
  <c r="C4" i="2"/>
  <c r="O3" i="2"/>
  <c r="M3" i="2"/>
  <c r="K3" i="2"/>
  <c r="I3" i="2"/>
  <c r="G3" i="2"/>
  <c r="E3" i="2"/>
  <c r="C3" i="2"/>
  <c r="O2" i="2"/>
  <c r="M2" i="2"/>
  <c r="K2" i="2"/>
  <c r="I2" i="2"/>
  <c r="G2" i="2"/>
  <c r="E2" i="2"/>
  <c r="C2" i="2"/>
  <c r="AB8" i="2"/>
  <c r="AB7" i="2"/>
  <c r="AB6" i="2"/>
  <c r="AB5" i="2"/>
  <c r="AB4" i="2"/>
  <c r="AB3" i="2"/>
  <c r="AB2" i="2"/>
  <c r="Q57" i="1"/>
  <c r="Q56" i="1"/>
  <c r="Q55" i="1"/>
  <c r="A53" i="1"/>
  <c r="Q53" i="1" s="1"/>
  <c r="Q52" i="1"/>
  <c r="Q51" i="1"/>
  <c r="Q50" i="1"/>
  <c r="Q49" i="1"/>
  <c r="Q48" i="1"/>
  <c r="Q46" i="1"/>
  <c r="Q45" i="1"/>
  <c r="Q44" i="1"/>
  <c r="Q43" i="1"/>
  <c r="Q42" i="1"/>
  <c r="Q41" i="1"/>
  <c r="Q40" i="1"/>
  <c r="Q38" i="1"/>
  <c r="Q37" i="1"/>
  <c r="Q36" i="1"/>
  <c r="Q35" i="1"/>
  <c r="Q34" i="1"/>
  <c r="Q33" i="1"/>
  <c r="Q32" i="1"/>
  <c r="Q31" i="1"/>
  <c r="N31" i="1"/>
  <c r="M31" i="1"/>
  <c r="K31" i="1"/>
  <c r="J31" i="1"/>
  <c r="I31" i="1"/>
  <c r="F31" i="1"/>
  <c r="E31" i="1"/>
  <c r="O28" i="1"/>
  <c r="A28" i="1"/>
  <c r="Q28" i="1" s="1"/>
  <c r="D27" i="1"/>
  <c r="Q27" i="1" s="1"/>
  <c r="D26" i="1"/>
  <c r="Q26" i="1" s="1"/>
  <c r="D25" i="1"/>
  <c r="Q25" i="1" s="1"/>
  <c r="D24" i="1"/>
  <c r="Q24" i="1" s="1"/>
  <c r="Q23" i="1"/>
  <c r="N23" i="1"/>
  <c r="M23" i="1"/>
  <c r="K23" i="1"/>
  <c r="J23" i="1"/>
  <c r="I23" i="1"/>
  <c r="F23" i="1"/>
  <c r="F24" i="1" s="1"/>
  <c r="E23" i="1"/>
  <c r="A21" i="1"/>
  <c r="Q21" i="1" s="1"/>
  <c r="Q20" i="1"/>
  <c r="Q19" i="1"/>
  <c r="Q18" i="1"/>
  <c r="Q17" i="1"/>
  <c r="Q16" i="1"/>
  <c r="Q15" i="1"/>
  <c r="Q14" i="1"/>
  <c r="Q12" i="1"/>
  <c r="Q11" i="1"/>
  <c r="Q10" i="1"/>
  <c r="Q9" i="1"/>
  <c r="Q8" i="1"/>
  <c r="Q7" i="1"/>
  <c r="Q6" i="1"/>
  <c r="Q4" i="1"/>
  <c r="Q3" i="1"/>
  <c r="Q2" i="1"/>
  <c r="N2" i="1"/>
  <c r="M2" i="1"/>
  <c r="K2" i="1"/>
  <c r="J2" i="1"/>
  <c r="I2" i="1"/>
  <c r="F2" i="1"/>
  <c r="E2" i="1"/>
  <c r="T1" i="1"/>
  <c r="E29" i="3" l="1"/>
  <c r="E30" i="3"/>
  <c r="E25" i="3"/>
  <c r="J25" i="3" s="1"/>
  <c r="E24" i="3"/>
  <c r="E20" i="3"/>
  <c r="AK12" i="3"/>
  <c r="AF9" i="3"/>
  <c r="E19" i="3"/>
  <c r="AK13" i="3"/>
  <c r="U10" i="3"/>
  <c r="AK8" i="3"/>
  <c r="T7" i="3"/>
  <c r="U8" i="3"/>
  <c r="AA12" i="3"/>
  <c r="AA7" i="3"/>
  <c r="AA8" i="3"/>
  <c r="AF11" i="3"/>
  <c r="AF12" i="3"/>
  <c r="AA13" i="3"/>
  <c r="M25" i="1"/>
  <c r="B52" i="1"/>
  <c r="AK5" i="3"/>
  <c r="H26" i="3"/>
  <c r="H31" i="3"/>
  <c r="M26" i="1"/>
  <c r="AA10" i="3"/>
  <c r="AF13" i="3"/>
  <c r="AF14" i="3"/>
  <c r="H21" i="3"/>
  <c r="M27" i="1"/>
  <c r="U6" i="3"/>
  <c r="AK6" i="3"/>
  <c r="U12" i="3"/>
  <c r="M56" i="1"/>
  <c r="Y56" i="1" s="1"/>
  <c r="F25" i="1"/>
  <c r="N24" i="1"/>
  <c r="B4" i="1"/>
  <c r="B14" i="1"/>
  <c r="E14" i="1" s="1"/>
  <c r="I14" i="1" s="1"/>
  <c r="B25" i="1"/>
  <c r="E25" i="1" s="1"/>
  <c r="I25" i="1" s="1"/>
  <c r="B35" i="1"/>
  <c r="E35" i="1" s="1"/>
  <c r="I35" i="1" s="1"/>
  <c r="B44" i="1"/>
  <c r="E44" i="1" s="1"/>
  <c r="I44" i="1" s="1"/>
  <c r="J44" i="1" s="1"/>
  <c r="M44" i="1" s="1"/>
  <c r="B6" i="1"/>
  <c r="B15" i="1"/>
  <c r="E15" i="1" s="1"/>
  <c r="I15" i="1" s="1"/>
  <c r="B26" i="1"/>
  <c r="E26" i="1" s="1"/>
  <c r="I26" i="1" s="1"/>
  <c r="B36" i="1"/>
  <c r="E36" i="1" s="1"/>
  <c r="I36" i="1" s="1"/>
  <c r="B45" i="1"/>
  <c r="E45" i="1" s="1"/>
  <c r="B7" i="1"/>
  <c r="E7" i="1" s="1"/>
  <c r="I7" i="1" s="1"/>
  <c r="B16" i="1"/>
  <c r="E16" i="1" s="1"/>
  <c r="B27" i="1"/>
  <c r="E27" i="1" s="1"/>
  <c r="I27" i="1" s="1"/>
  <c r="B37" i="1"/>
  <c r="E37" i="1" s="1"/>
  <c r="I37" i="1" s="1"/>
  <c r="J37" i="1" s="1"/>
  <c r="M37" i="1" s="1"/>
  <c r="B46" i="1"/>
  <c r="B8" i="1"/>
  <c r="E8" i="1" s="1"/>
  <c r="I8" i="1" s="1"/>
  <c r="J8" i="1" s="1"/>
  <c r="M8" i="1" s="1"/>
  <c r="B17" i="1"/>
  <c r="E17" i="1" s="1"/>
  <c r="I17" i="1" s="1"/>
  <c r="B38" i="1"/>
  <c r="B48" i="1"/>
  <c r="E48" i="1" s="1"/>
  <c r="I48" i="1" s="1"/>
  <c r="B9" i="1"/>
  <c r="E9" i="1" s="1"/>
  <c r="I9" i="1" s="1"/>
  <c r="J9" i="1" s="1"/>
  <c r="M9" i="1" s="1"/>
  <c r="B18" i="1"/>
  <c r="E18" i="1" s="1"/>
  <c r="I18" i="1" s="1"/>
  <c r="J18" i="1" s="1"/>
  <c r="M18" i="1" s="1"/>
  <c r="B40" i="1"/>
  <c r="E40" i="1" s="1"/>
  <c r="I40" i="1" s="1"/>
  <c r="B49" i="1"/>
  <c r="E49" i="1" s="1"/>
  <c r="I49" i="1" s="1"/>
  <c r="B10" i="1"/>
  <c r="E10" i="1" s="1"/>
  <c r="I10" i="1" s="1"/>
  <c r="B19" i="1"/>
  <c r="E19" i="1" s="1"/>
  <c r="B32" i="1"/>
  <c r="F32" i="1" s="1"/>
  <c r="B41" i="1"/>
  <c r="E41" i="1" s="1"/>
  <c r="B50" i="1"/>
  <c r="E50" i="1" s="1"/>
  <c r="I50" i="1" s="1"/>
  <c r="J50" i="1" s="1"/>
  <c r="M50" i="1" s="1"/>
  <c r="B11" i="1"/>
  <c r="E11" i="1" s="1"/>
  <c r="I11" i="1" s="1"/>
  <c r="B20" i="1"/>
  <c r="B33" i="1"/>
  <c r="E33" i="1" s="1"/>
  <c r="I33" i="1" s="1"/>
  <c r="J33" i="1" s="1"/>
  <c r="M33" i="1" s="1"/>
  <c r="B42" i="1"/>
  <c r="E42" i="1" s="1"/>
  <c r="I42" i="1" s="1"/>
  <c r="B51" i="1"/>
  <c r="E51" i="1" s="1"/>
  <c r="I51" i="1" s="1"/>
  <c r="B3" i="1"/>
  <c r="F3" i="1" s="1"/>
  <c r="F6" i="1" s="1"/>
  <c r="B12" i="1"/>
  <c r="B24" i="1"/>
  <c r="E24" i="1" s="1"/>
  <c r="I24" i="1" s="1"/>
  <c r="B34" i="1"/>
  <c r="E34" i="1" s="1"/>
  <c r="I34" i="1" s="1"/>
  <c r="B43" i="1"/>
  <c r="E43" i="1" s="1"/>
  <c r="I43" i="1" s="1"/>
  <c r="J43" i="1" s="1"/>
  <c r="M43" i="1" s="1"/>
  <c r="E52" i="1"/>
  <c r="I52" i="1" s="1"/>
  <c r="E6" i="1"/>
  <c r="I6" i="1" s="1"/>
  <c r="J6" i="1" s="1"/>
  <c r="M6" i="1" s="1"/>
  <c r="S7" i="3"/>
  <c r="K25" i="1"/>
  <c r="L53" i="1"/>
  <c r="L55" i="1" s="1"/>
  <c r="K24" i="1"/>
  <c r="I45" i="1" l="1"/>
  <c r="J45" i="1" s="1"/>
  <c r="M45" i="1" s="1"/>
  <c r="I19" i="1"/>
  <c r="J19" i="1" s="1"/>
  <c r="M19" i="1" s="1"/>
  <c r="E31" i="3"/>
  <c r="J24" i="3"/>
  <c r="J26" i="3" s="1"/>
  <c r="E26" i="3"/>
  <c r="K20" i="3"/>
  <c r="J20" i="3"/>
  <c r="K19" i="3"/>
  <c r="J19" i="3"/>
  <c r="J21" i="3" s="1"/>
  <c r="E21" i="3"/>
  <c r="U7" i="3"/>
  <c r="X24" i="1"/>
  <c r="Y24" i="1"/>
  <c r="W24" i="1"/>
  <c r="J24" i="1"/>
  <c r="R24" i="1"/>
  <c r="U24" i="1"/>
  <c r="S24" i="1"/>
  <c r="V24" i="1"/>
  <c r="T24" i="1"/>
  <c r="T56" i="1"/>
  <c r="U56" i="1"/>
  <c r="V56" i="1"/>
  <c r="W56" i="1"/>
  <c r="R56" i="1"/>
  <c r="X56" i="1"/>
  <c r="S56" i="1"/>
  <c r="J25" i="1"/>
  <c r="F33" i="1"/>
  <c r="J51" i="1"/>
  <c r="M51" i="1" s="1"/>
  <c r="F26" i="1"/>
  <c r="K26" i="1" s="1"/>
  <c r="N25" i="1"/>
  <c r="I41" i="1"/>
  <c r="J41" i="1" s="1"/>
  <c r="M41" i="1" s="1"/>
  <c r="I16" i="1"/>
  <c r="J16" i="1" s="1"/>
  <c r="M16" i="1" s="1"/>
  <c r="E3" i="1"/>
  <c r="I3" i="1" s="1"/>
  <c r="K3" i="1" s="1"/>
  <c r="N3" i="1" s="1"/>
  <c r="E32" i="1"/>
  <c r="J35" i="1"/>
  <c r="M35" i="1" s="1"/>
  <c r="J26" i="1"/>
  <c r="J27" i="1"/>
  <c r="J7" i="1"/>
  <c r="M7" i="1" s="1"/>
  <c r="J15" i="1"/>
  <c r="M15" i="1" s="1"/>
  <c r="J36" i="1"/>
  <c r="M36" i="1" s="1"/>
  <c r="J34" i="1"/>
  <c r="M34" i="1" s="1"/>
  <c r="J17" i="1"/>
  <c r="M17" i="1" s="1"/>
  <c r="J52" i="1"/>
  <c r="M52" i="1" s="1"/>
  <c r="J10" i="1"/>
  <c r="M10" i="1" s="1"/>
  <c r="M28" i="1"/>
  <c r="J40" i="1"/>
  <c r="M40" i="1" s="1"/>
  <c r="J11" i="1"/>
  <c r="M11" i="1" s="1"/>
  <c r="J48" i="1"/>
  <c r="M48" i="1" s="1"/>
  <c r="J42" i="1"/>
  <c r="M42" i="1" s="1"/>
  <c r="J14" i="1"/>
  <c r="M14" i="1" s="1"/>
  <c r="J49" i="1"/>
  <c r="M49" i="1" s="1"/>
  <c r="F34" i="1" l="1"/>
  <c r="K33" i="1"/>
  <c r="N33" i="1" s="1"/>
  <c r="K21" i="3"/>
  <c r="X25" i="1"/>
  <c r="Y25" i="1"/>
  <c r="W25" i="1"/>
  <c r="R25" i="1"/>
  <c r="U25" i="1"/>
  <c r="S25" i="1"/>
  <c r="V25" i="1"/>
  <c r="T25" i="1"/>
  <c r="F27" i="1"/>
  <c r="N26" i="1"/>
  <c r="K6" i="1"/>
  <c r="I32" i="1"/>
  <c r="K32" i="1" s="1"/>
  <c r="N32" i="1" s="1"/>
  <c r="J3" i="1"/>
  <c r="F35" i="1" l="1"/>
  <c r="K34" i="1"/>
  <c r="N34" i="1" s="1"/>
  <c r="Y34" i="1" s="1"/>
  <c r="N27" i="1"/>
  <c r="K27" i="1"/>
  <c r="S4" i="1"/>
  <c r="Y26" i="1"/>
  <c r="W26" i="1"/>
  <c r="X26" i="1"/>
  <c r="T33" i="1"/>
  <c r="Y33" i="1"/>
  <c r="V33" i="1"/>
  <c r="S33" i="1"/>
  <c r="X33" i="1"/>
  <c r="U33" i="1"/>
  <c r="W33" i="1"/>
  <c r="R26" i="1"/>
  <c r="U26" i="1"/>
  <c r="S26" i="1"/>
  <c r="V26" i="1"/>
  <c r="T26" i="1"/>
  <c r="R33" i="1"/>
  <c r="U27" i="1"/>
  <c r="M3" i="1"/>
  <c r="F7" i="1"/>
  <c r="K7" i="1" s="1"/>
  <c r="N6" i="1"/>
  <c r="J32" i="1"/>
  <c r="K35" i="1" l="1"/>
  <c r="N35" i="1" s="1"/>
  <c r="F36" i="1"/>
  <c r="N28" i="1"/>
  <c r="S27" i="1"/>
  <c r="S28" i="1" s="1"/>
  <c r="V27" i="1"/>
  <c r="V28" i="1" s="1"/>
  <c r="S34" i="1"/>
  <c r="V34" i="1"/>
  <c r="X34" i="1"/>
  <c r="U34" i="1"/>
  <c r="W34" i="1"/>
  <c r="T34" i="1"/>
  <c r="R34" i="1"/>
  <c r="Y27" i="1"/>
  <c r="Y28" i="1" s="1"/>
  <c r="W27" i="1"/>
  <c r="W28" i="1" s="1"/>
  <c r="X27" i="1"/>
  <c r="X28" i="1" s="1"/>
  <c r="T27" i="1"/>
  <c r="T28" i="1" s="1"/>
  <c r="R27" i="1"/>
  <c r="R28" i="1" s="1"/>
  <c r="Y3" i="1"/>
  <c r="X3" i="1"/>
  <c r="W3" i="1"/>
  <c r="V3" i="1"/>
  <c r="U3" i="1"/>
  <c r="T3" i="1"/>
  <c r="R3" i="1"/>
  <c r="S3" i="1"/>
  <c r="U28" i="1"/>
  <c r="Y6" i="1"/>
  <c r="X6" i="1"/>
  <c r="W6" i="1"/>
  <c r="V6" i="1"/>
  <c r="U6" i="1"/>
  <c r="T6" i="1"/>
  <c r="S6" i="1"/>
  <c r="R6" i="1"/>
  <c r="M32" i="1"/>
  <c r="F8" i="1"/>
  <c r="K8" i="1" s="1"/>
  <c r="N7" i="1"/>
  <c r="M21" i="1"/>
  <c r="F37" i="1" l="1"/>
  <c r="K36" i="1"/>
  <c r="N36" i="1" s="1"/>
  <c r="V35" i="1"/>
  <c r="S35" i="1"/>
  <c r="X35" i="1"/>
  <c r="U35" i="1"/>
  <c r="W35" i="1"/>
  <c r="T35" i="1"/>
  <c r="Y35" i="1"/>
  <c r="R35" i="1"/>
  <c r="W32" i="1"/>
  <c r="T32" i="1"/>
  <c r="Y32" i="1"/>
  <c r="X32" i="1"/>
  <c r="V32" i="1"/>
  <c r="S32" i="1"/>
  <c r="U32" i="1"/>
  <c r="Y7" i="1"/>
  <c r="X7" i="1"/>
  <c r="W7" i="1"/>
  <c r="V7" i="1"/>
  <c r="U7" i="1"/>
  <c r="T7" i="1"/>
  <c r="S7" i="1"/>
  <c r="R7" i="1"/>
  <c r="R32" i="1"/>
  <c r="F9" i="1"/>
  <c r="K9" i="1" s="1"/>
  <c r="N8" i="1"/>
  <c r="M53" i="1"/>
  <c r="M55" i="1" s="1"/>
  <c r="K37" i="1" l="1"/>
  <c r="N37" i="1" s="1"/>
  <c r="F40" i="1"/>
  <c r="S36" i="1"/>
  <c r="X36" i="1"/>
  <c r="U36" i="1"/>
  <c r="W36" i="1"/>
  <c r="T36" i="1"/>
  <c r="Y36" i="1"/>
  <c r="V36" i="1"/>
  <c r="R36" i="1"/>
  <c r="Y8" i="1"/>
  <c r="X8" i="1"/>
  <c r="W8" i="1"/>
  <c r="V8" i="1"/>
  <c r="U8" i="1"/>
  <c r="T8" i="1"/>
  <c r="S8" i="1"/>
  <c r="R8" i="1"/>
  <c r="F10" i="1"/>
  <c r="K10" i="1" s="1"/>
  <c r="N9" i="1"/>
  <c r="S37" i="1" l="1"/>
  <c r="U37" i="1"/>
  <c r="X37" i="1"/>
  <c r="V37" i="1"/>
  <c r="T37" i="1"/>
  <c r="W37" i="1"/>
  <c r="R37" i="1"/>
  <c r="Y37" i="1"/>
  <c r="R9" i="1"/>
  <c r="Y9" i="1"/>
  <c r="X9" i="1"/>
  <c r="W9" i="1"/>
  <c r="V9" i="1"/>
  <c r="U9" i="1"/>
  <c r="T9" i="1"/>
  <c r="S9" i="1"/>
  <c r="F41" i="1"/>
  <c r="F11" i="1"/>
  <c r="N10" i="1"/>
  <c r="K40" i="1"/>
  <c r="N40" i="1" s="1"/>
  <c r="K11" i="1" l="1"/>
  <c r="N11" i="1" s="1"/>
  <c r="F14" i="1"/>
  <c r="R40" i="1"/>
  <c r="W40" i="1"/>
  <c r="T40" i="1"/>
  <c r="Y40" i="1"/>
  <c r="V40" i="1"/>
  <c r="S40" i="1"/>
  <c r="X40" i="1"/>
  <c r="U40" i="1"/>
  <c r="R10" i="1"/>
  <c r="Y10" i="1"/>
  <c r="X10" i="1"/>
  <c r="W10" i="1"/>
  <c r="V10" i="1"/>
  <c r="U10" i="1"/>
  <c r="T10" i="1"/>
  <c r="S10" i="1"/>
  <c r="F42" i="1"/>
  <c r="K41" i="1"/>
  <c r="N41" i="1" s="1"/>
  <c r="U11" i="1" l="1"/>
  <c r="R11" i="1"/>
  <c r="X11" i="1"/>
  <c r="S11" i="1"/>
  <c r="W11" i="1"/>
  <c r="V11" i="1"/>
  <c r="Y11" i="1"/>
  <c r="T11" i="1"/>
  <c r="W41" i="1"/>
  <c r="T41" i="1"/>
  <c r="Y41" i="1"/>
  <c r="V41" i="1"/>
  <c r="S41" i="1"/>
  <c r="X41" i="1"/>
  <c r="U41" i="1"/>
  <c r="R41" i="1"/>
  <c r="F43" i="1"/>
  <c r="K14" i="1"/>
  <c r="K42" i="1"/>
  <c r="N42" i="1" s="1"/>
  <c r="T42" i="1" l="1"/>
  <c r="Y42" i="1"/>
  <c r="V42" i="1"/>
  <c r="S42" i="1"/>
  <c r="X42" i="1"/>
  <c r="U42" i="1"/>
  <c r="R42" i="1"/>
  <c r="W42" i="1"/>
  <c r="F15" i="1"/>
  <c r="K15" i="1" s="1"/>
  <c r="N14" i="1"/>
  <c r="F44" i="1"/>
  <c r="F45" i="1" s="1"/>
  <c r="F48" i="1" s="1"/>
  <c r="K43" i="1"/>
  <c r="N43" i="1" s="1"/>
  <c r="K45" i="1" l="1"/>
  <c r="N45" i="1" s="1"/>
  <c r="Y14" i="1"/>
  <c r="X14" i="1"/>
  <c r="W14" i="1"/>
  <c r="V14" i="1"/>
  <c r="U14" i="1"/>
  <c r="T14" i="1"/>
  <c r="S14" i="1"/>
  <c r="Y43" i="1"/>
  <c r="V43" i="1"/>
  <c r="S43" i="1"/>
  <c r="X43" i="1"/>
  <c r="U43" i="1"/>
  <c r="R43" i="1"/>
  <c r="W43" i="1"/>
  <c r="T43" i="1"/>
  <c r="R14" i="1"/>
  <c r="F16" i="1"/>
  <c r="K16" i="1" s="1"/>
  <c r="N15" i="1"/>
  <c r="K44" i="1"/>
  <c r="N44" i="1" s="1"/>
  <c r="V44" i="1" l="1"/>
  <c r="S44" i="1"/>
  <c r="X44" i="1"/>
  <c r="U44" i="1"/>
  <c r="R44" i="1"/>
  <c r="W44" i="1"/>
  <c r="T44" i="1"/>
  <c r="Y44" i="1"/>
  <c r="Y15" i="1"/>
  <c r="X15" i="1"/>
  <c r="W15" i="1"/>
  <c r="V15" i="1"/>
  <c r="U15" i="1"/>
  <c r="T15" i="1"/>
  <c r="S15" i="1"/>
  <c r="R15" i="1"/>
  <c r="F17" i="1"/>
  <c r="K17" i="1" s="1"/>
  <c r="N16" i="1"/>
  <c r="V45" i="1" l="1"/>
  <c r="U45" i="1"/>
  <c r="R45" i="1"/>
  <c r="T45" i="1"/>
  <c r="S45" i="1"/>
  <c r="Y45" i="1"/>
  <c r="X45" i="1"/>
  <c r="W45" i="1"/>
  <c r="Y16" i="1"/>
  <c r="X16" i="1"/>
  <c r="W16" i="1"/>
  <c r="V16" i="1"/>
  <c r="U16" i="1"/>
  <c r="T16" i="1"/>
  <c r="S16" i="1"/>
  <c r="R16" i="1"/>
  <c r="F18" i="1"/>
  <c r="N17" i="1"/>
  <c r="K18" i="1" l="1"/>
  <c r="N18" i="1" s="1"/>
  <c r="F19" i="1"/>
  <c r="K19" i="1" s="1"/>
  <c r="N19" i="1" s="1"/>
  <c r="W46" i="1"/>
  <c r="S46" i="1"/>
  <c r="V46" i="1"/>
  <c r="U46" i="1"/>
  <c r="T46" i="1"/>
  <c r="Y46" i="1"/>
  <c r="X46" i="1"/>
  <c r="Y17" i="1"/>
  <c r="X17" i="1"/>
  <c r="W17" i="1"/>
  <c r="V17" i="1"/>
  <c r="U17" i="1"/>
  <c r="T17" i="1"/>
  <c r="S17" i="1"/>
  <c r="R17" i="1"/>
  <c r="F49" i="1"/>
  <c r="K48" i="1"/>
  <c r="N48" i="1" s="1"/>
  <c r="N21" i="1" l="1"/>
  <c r="U48" i="1"/>
  <c r="R48" i="1"/>
  <c r="W48" i="1"/>
  <c r="T48" i="1"/>
  <c r="Y48" i="1"/>
  <c r="V48" i="1"/>
  <c r="S48" i="1"/>
  <c r="X48" i="1"/>
  <c r="Y18" i="1"/>
  <c r="X18" i="1"/>
  <c r="W18" i="1"/>
  <c r="V18" i="1"/>
  <c r="U18" i="1"/>
  <c r="T18" i="1"/>
  <c r="S18" i="1"/>
  <c r="R18" i="1"/>
  <c r="F50" i="1"/>
  <c r="K49" i="1"/>
  <c r="N49" i="1" s="1"/>
  <c r="W19" i="1" l="1"/>
  <c r="S19" i="1"/>
  <c r="R19" i="1"/>
  <c r="Y19" i="1"/>
  <c r="V19" i="1"/>
  <c r="U19" i="1"/>
  <c r="T19" i="1"/>
  <c r="X19" i="1"/>
  <c r="R49" i="1"/>
  <c r="W49" i="1"/>
  <c r="T49" i="1"/>
  <c r="Y49" i="1"/>
  <c r="V49" i="1"/>
  <c r="S49" i="1"/>
  <c r="X49" i="1"/>
  <c r="U49" i="1"/>
  <c r="F51" i="1"/>
  <c r="K50" i="1"/>
  <c r="N50" i="1" s="1"/>
  <c r="X20" i="1" l="1"/>
  <c r="X21" i="1" s="1"/>
  <c r="X29" i="1" s="1"/>
  <c r="W20" i="1"/>
  <c r="W21" i="1" s="1"/>
  <c r="W29" i="1" s="1"/>
  <c r="V20" i="1"/>
  <c r="V21" i="1" s="1"/>
  <c r="V29" i="1" s="1"/>
  <c r="U20" i="1"/>
  <c r="U21" i="1" s="1"/>
  <c r="U29" i="1" s="1"/>
  <c r="T20" i="1"/>
  <c r="T21" i="1" s="1"/>
  <c r="T29" i="1" s="1"/>
  <c r="S20" i="1"/>
  <c r="S21" i="1" s="1"/>
  <c r="S29" i="1" s="1"/>
  <c r="Y20" i="1"/>
  <c r="Y21" i="1" s="1"/>
  <c r="Y29" i="1" s="1"/>
  <c r="W50" i="1"/>
  <c r="T50" i="1"/>
  <c r="Y50" i="1"/>
  <c r="V50" i="1"/>
  <c r="S50" i="1"/>
  <c r="X50" i="1"/>
  <c r="U50" i="1"/>
  <c r="R50" i="1"/>
  <c r="R21" i="1"/>
  <c r="R29" i="1" s="1"/>
  <c r="F52" i="1"/>
  <c r="K51" i="1"/>
  <c r="N51" i="1" s="1"/>
  <c r="T51" i="1" l="1"/>
  <c r="Y51" i="1"/>
  <c r="V51" i="1"/>
  <c r="S51" i="1"/>
  <c r="X51" i="1"/>
  <c r="U51" i="1"/>
  <c r="R51" i="1"/>
  <c r="W51" i="1"/>
  <c r="K52" i="1"/>
  <c r="N52" i="1" s="1"/>
  <c r="Y52" i="1" l="1"/>
  <c r="Y53" i="1" s="1"/>
  <c r="Y55" i="1" s="1"/>
  <c r="V52" i="1"/>
  <c r="V53" i="1" s="1"/>
  <c r="V55" i="1" s="1"/>
  <c r="S52" i="1"/>
  <c r="S53" i="1" s="1"/>
  <c r="S55" i="1" s="1"/>
  <c r="X52" i="1"/>
  <c r="X53" i="1" s="1"/>
  <c r="X55" i="1" s="1"/>
  <c r="U52" i="1"/>
  <c r="U53" i="1" s="1"/>
  <c r="U55" i="1" s="1"/>
  <c r="R52" i="1"/>
  <c r="R53" i="1" s="1"/>
  <c r="R55" i="1" s="1"/>
  <c r="W52" i="1"/>
  <c r="W53" i="1" s="1"/>
  <c r="W55" i="1" s="1"/>
  <c r="T52" i="1"/>
  <c r="T53" i="1" s="1"/>
  <c r="T55" i="1" s="1"/>
  <c r="N53" i="1"/>
  <c r="W57" i="1" l="1"/>
  <c r="V57" i="1"/>
  <c r="T57" i="1"/>
  <c r="X57" i="1"/>
  <c r="R57" i="1"/>
  <c r="Y57" i="1"/>
  <c r="N55" i="1"/>
  <c r="M57" i="1" s="1"/>
  <c r="U57" i="1"/>
  <c r="S57" i="1"/>
</calcChain>
</file>

<file path=xl/sharedStrings.xml><?xml version="1.0" encoding="utf-8"?>
<sst xmlns="http://schemas.openxmlformats.org/spreadsheetml/2006/main" count="1009" uniqueCount="271">
  <si>
    <t>Autoparkeren</t>
  </si>
  <si>
    <t>Nobelhorst - Fase 5</t>
  </si>
  <si>
    <t>Dubbelgebruik Parkeren</t>
  </si>
  <si>
    <t>Zone parkeergebied</t>
  </si>
  <si>
    <t>Functie Wonen</t>
  </si>
  <si>
    <t>Omschrijving functie</t>
  </si>
  <si>
    <t>Eenheid</t>
  </si>
  <si>
    <t xml:space="preserve">Parkeren eigen </t>
  </si>
  <si>
    <t>Aantal</t>
  </si>
  <si>
    <t>Aantal openbare pp</t>
  </si>
  <si>
    <t>Werkdag Ochtend</t>
  </si>
  <si>
    <t>Werkdag Middag</t>
  </si>
  <si>
    <t>Werkdag Avond</t>
  </si>
  <si>
    <t>Werkdag Nacht</t>
  </si>
  <si>
    <t>Koop Avond</t>
  </si>
  <si>
    <t>Zaterdag Middag</t>
  </si>
  <si>
    <t>Zaterdag Avond</t>
  </si>
  <si>
    <t>Zondag Middag</t>
  </si>
  <si>
    <t>Zone B</t>
  </si>
  <si>
    <t>Veld 1 - Appartementen Midden - Huur</t>
  </si>
  <si>
    <t>---</t>
  </si>
  <si>
    <t>Veld 1 - Appartementen Sociaal - Huur</t>
  </si>
  <si>
    <t>Veld 2 - Rijwoning Vrije Sector Midden - Koop</t>
  </si>
  <si>
    <t>Verschil</t>
  </si>
  <si>
    <t>Veld 2 - Rijwoning Vrije Sector Klein - Koop</t>
  </si>
  <si>
    <t>Veld 2 - Rijwoning Betaalbaar - Koop</t>
  </si>
  <si>
    <t>Veld 2 - Rijwoning Midden - Huur</t>
  </si>
  <si>
    <t>Veld 2 - Rijwoning Sociaal - Huur</t>
  </si>
  <si>
    <t>Veld 2 - Appartementen Midden - Huur</t>
  </si>
  <si>
    <t>Veld 2 - Appartementen Sociaal - Huur</t>
  </si>
  <si>
    <t>Veld 3 - Rijwoning Vrije Sector Midden - Koop</t>
  </si>
  <si>
    <t>Veld 3 - Rijwoning Vrije Sector Klein - Koop</t>
  </si>
  <si>
    <t>Veld 3 - Rijwoning Betaalbaar - Koop</t>
  </si>
  <si>
    <t>Veld 3 - Rijwoning Midden - Huur</t>
  </si>
  <si>
    <t>Veld 3 - Appartementen Midden - Huur</t>
  </si>
  <si>
    <t>Veld 3 - Appartementen Sociaal - Huur</t>
  </si>
  <si>
    <t>Functie Onderwijs</t>
  </si>
  <si>
    <t>Basisschool - Halen &amp; Brengen</t>
  </si>
  <si>
    <t>Basisschool - Personeel</t>
  </si>
  <si>
    <t>Kinderdagverblijf (Crèche) - Halen &amp; Brengen</t>
  </si>
  <si>
    <t>Kinderdagverblijf (Crèche) - Personeel</t>
  </si>
  <si>
    <t>Functie Sport, Cultuur en Ontspanning</t>
  </si>
  <si>
    <t>Veld 1 - Rijwoning Vrije Sector Midden - Koop</t>
  </si>
  <si>
    <t>Veld 1 - Rijwoning Vrije Sector Klein - Koop</t>
  </si>
  <si>
    <t>Veld 1 - Rijwoning Midden - Huur</t>
  </si>
  <si>
    <t>Totaal parkeerbehoefte</t>
  </si>
  <si>
    <t>Totaal parkeeraanbod - Openbaar</t>
  </si>
  <si>
    <t>Functie woningen</t>
  </si>
  <si>
    <t>Zone A+</t>
  </si>
  <si>
    <t>Zone A</t>
  </si>
  <si>
    <t>Zone C</t>
  </si>
  <si>
    <t>Zone D</t>
  </si>
  <si>
    <t>Zone E</t>
  </si>
  <si>
    <t>Zone F</t>
  </si>
  <si>
    <t>Dubbelgebruik</t>
  </si>
  <si>
    <t>Parkeerzone</t>
  </si>
  <si>
    <t>Kolomnr.</t>
  </si>
  <si>
    <t>Aandeel pp bezoekers</t>
  </si>
  <si>
    <t>Eigen terrein parkeren</t>
  </si>
  <si>
    <t>Reductiefactor</t>
  </si>
  <si>
    <t>Per woning</t>
  </si>
  <si>
    <t>Woningen - Bewoners</t>
  </si>
  <si>
    <t>Enkele oprit zonder garage</t>
  </si>
  <si>
    <t>Woningen - Bezoekers</t>
  </si>
  <si>
    <t>Lange oprit zonder garage</t>
  </si>
  <si>
    <t>Dubbele oprit zonder garage</t>
  </si>
  <si>
    <t>Garage zonder oprit</t>
  </si>
  <si>
    <t>Garagebox</t>
  </si>
  <si>
    <t>Enkele oprit met garage</t>
  </si>
  <si>
    <t>Lange oprit met garage</t>
  </si>
  <si>
    <t>Dubbele oprit met garage</t>
  </si>
  <si>
    <t>Aanleunwoning, Serviceflat, Zelfstandige woning met beperkte zorgvoorziening</t>
  </si>
  <si>
    <t>Eigen terrein</t>
  </si>
  <si>
    <t>Zorgwoning (t.b.v. bezoek en personeel)</t>
  </si>
  <si>
    <t>Per wooneenheid</t>
  </si>
  <si>
    <t>Per kamer</t>
  </si>
  <si>
    <t>-</t>
  </si>
  <si>
    <t>Functie Werken</t>
  </si>
  <si>
    <t>Kantoor zonder baliefunctie</t>
  </si>
  <si>
    <t>Per 100m2 BVO</t>
  </si>
  <si>
    <t>Kantoren / Bedrijven</t>
  </si>
  <si>
    <t>Commerciële dienstverlening (Kantoor met baliefunctie)</t>
  </si>
  <si>
    <t>Bedrijf arbeidsintensief/bezoekersextensief</t>
  </si>
  <si>
    <t>Bedrijf arbeidsextensief/bezoekersextensief</t>
  </si>
  <si>
    <t>Functie Winkelen</t>
  </si>
  <si>
    <t>Supermarkt</t>
  </si>
  <si>
    <t>Kringloopwinkel</t>
  </si>
  <si>
    <t>Bruin- en witgoedzaken</t>
  </si>
  <si>
    <t>Detailhandel</t>
  </si>
  <si>
    <t>Woonwarenhuis/woonwinkel</t>
  </si>
  <si>
    <t>Woonwarenhuis (zeer groot)</t>
  </si>
  <si>
    <t>Meubelboulevard/woonboulevard</t>
  </si>
  <si>
    <t>Winkelboulevard</t>
  </si>
  <si>
    <t>Outletcentrum</t>
  </si>
  <si>
    <t>Bouwmarkt</t>
  </si>
  <si>
    <t>Tuincentrum (inclusief buitenruimte)</t>
  </si>
  <si>
    <t>Groencentrum (inclusief buitenruimte)</t>
  </si>
  <si>
    <t>Bibliotheek</t>
  </si>
  <si>
    <t>Museum</t>
  </si>
  <si>
    <t>Bioscoop</t>
  </si>
  <si>
    <t>Filmtheater/filmhuis</t>
  </si>
  <si>
    <t>Theater/schouwburg</t>
  </si>
  <si>
    <t>Musicaltheater</t>
  </si>
  <si>
    <t>Casino</t>
  </si>
  <si>
    <t>Bowlingcentrum</t>
  </si>
  <si>
    <t>Per baan</t>
  </si>
  <si>
    <t>Biljartcentrum/snookercentrum</t>
  </si>
  <si>
    <t>Per tafel</t>
  </si>
  <si>
    <t>Dansstudio</t>
  </si>
  <si>
    <t>Fitnessstudio/sportschool</t>
  </si>
  <si>
    <t>Fitnesscentrum</t>
  </si>
  <si>
    <t>Wellnesscentrum</t>
  </si>
  <si>
    <t>Sauna/hammam</t>
  </si>
  <si>
    <t>Sporthal</t>
  </si>
  <si>
    <t>Sportzaal</t>
  </si>
  <si>
    <t>Tennisbaan/hal</t>
  </si>
  <si>
    <t>Squashbaan/hal</t>
  </si>
  <si>
    <t>Per 100m2 bassin</t>
  </si>
  <si>
    <t>Zwembad (openlucht)</t>
  </si>
  <si>
    <t>Sportveld</t>
  </si>
  <si>
    <t>Per ha. netto terrein</t>
  </si>
  <si>
    <t>Stadion</t>
  </si>
  <si>
    <t>Per zitplaats</t>
  </si>
  <si>
    <t>Kunstijsbaan (&lt;400 meter)</t>
  </si>
  <si>
    <t>Kunstijsbaan (400 meter)</t>
  </si>
  <si>
    <t>Per 100m2 sneeuw</t>
  </si>
  <si>
    <t>Jachthaven</t>
  </si>
  <si>
    <t>Per ligplaats</t>
  </si>
  <si>
    <t>Golfoefencentrum</t>
  </si>
  <si>
    <t>Per totaal</t>
  </si>
  <si>
    <t>Golfbaan (18 holes)</t>
  </si>
  <si>
    <t>Per 18 holes, 60 ha.</t>
  </si>
  <si>
    <t>Indoorspeeltuin/kinderspeelhal - gemiddeld en kleiner</t>
  </si>
  <si>
    <t>Indoorspeeltuin/kinderspeelhal - groot</t>
  </si>
  <si>
    <t>Indoorspeeltuin/kinderspeelhal - zeer groot</t>
  </si>
  <si>
    <t>Manege</t>
  </si>
  <si>
    <t>Per box</t>
  </si>
  <si>
    <t>Volkstuin</t>
  </si>
  <si>
    <t>Per 10 tuinen</t>
  </si>
  <si>
    <t>Functie Horeca en (verblijfs)recreactie</t>
  </si>
  <si>
    <t>Camping (Kampeerterrein)</t>
  </si>
  <si>
    <t>Per standplaats</t>
  </si>
  <si>
    <t>Verblijfslocatie</t>
  </si>
  <si>
    <t>Bungalowpark (Huisjescomplex)</t>
  </si>
  <si>
    <t>Per bungalow</t>
  </si>
  <si>
    <t>Per 10 kamers</t>
  </si>
  <si>
    <t>Café/ Bar/ Cafetaria</t>
  </si>
  <si>
    <t>Restaurant</t>
  </si>
  <si>
    <t>Discotheek</t>
  </si>
  <si>
    <t>Evenementenhal/ Beursgebouw/ Congresgebouw</t>
  </si>
  <si>
    <t>Functie Gezondheidszorg</t>
  </si>
  <si>
    <t>Huisartsenpraktijk/ -centrum</t>
  </si>
  <si>
    <t>Per behandelkamer</t>
  </si>
  <si>
    <t>Sociaal medisch</t>
  </si>
  <si>
    <t>Apotheek</t>
  </si>
  <si>
    <t>Per apotheek</t>
  </si>
  <si>
    <t>Fysiotherapiepraktijk/ -centrum</t>
  </si>
  <si>
    <t>Consultatiebureau</t>
  </si>
  <si>
    <t>Consultatiebureau voor ouderen</t>
  </si>
  <si>
    <t>Tandartsenpraktijk/ -centrum</t>
  </si>
  <si>
    <t>Gezondheidscentrum</t>
  </si>
  <si>
    <t>Ziekenhuis</t>
  </si>
  <si>
    <t>Ziekenhuis - Patiënt/Bezoek</t>
  </si>
  <si>
    <t>Ziekenhuis - Medewerkers</t>
  </si>
  <si>
    <t>Crematorium</t>
  </si>
  <si>
    <t>Per gelijktijdige plechtigheid</t>
  </si>
  <si>
    <t>Begraafplaats</t>
  </si>
  <si>
    <t>Penitentiaire inrichting</t>
  </si>
  <si>
    <t>Per 10 cellen</t>
  </si>
  <si>
    <t>Religiegebouw</t>
  </si>
  <si>
    <t>Per bid-/ zitplaats</t>
  </si>
  <si>
    <t>Religie</t>
  </si>
  <si>
    <t>Verpleeg- en verzorgingstehuis</t>
  </si>
  <si>
    <t>Rekentool</t>
  </si>
  <si>
    <t>Dagonderwijs</t>
  </si>
  <si>
    <t>Tijdelijke schoollocaties - Halen &amp; Brengen</t>
  </si>
  <si>
    <t>Buitenschoolse opvang - Halen &amp; Brengen</t>
  </si>
  <si>
    <t>Tijdelijke schoollocaties - Personeel</t>
  </si>
  <si>
    <t>Buitenschoolse opvang - Personeel</t>
  </si>
  <si>
    <t>Middelbare school</t>
  </si>
  <si>
    <t>Per 100 leerlingen</t>
  </si>
  <si>
    <t>ROC</t>
  </si>
  <si>
    <t>HBO</t>
  </si>
  <si>
    <t>Per 100 studenten</t>
  </si>
  <si>
    <t>Universiteit</t>
  </si>
  <si>
    <t>Avondonderwijs of vrijetijdsonderwijs</t>
  </si>
  <si>
    <t>Per 10 studenten</t>
  </si>
  <si>
    <t>Avondonderwijs</t>
  </si>
  <si>
    <t>Rekentool basisschool obv rekentool CROW</t>
  </si>
  <si>
    <t>Rekentool KDV/BSO obv rekentool CROW</t>
  </si>
  <si>
    <t>Parkeerplaatsen Basisschool</t>
  </si>
  <si>
    <t>Parkeerplaatsen Tijdelijke Schoollocaties</t>
  </si>
  <si>
    <t>Parkeerplaatsen KDV</t>
  </si>
  <si>
    <t>Parkeerplaatsen BSO</t>
  </si>
  <si>
    <t>onderbouw</t>
  </si>
  <si>
    <t>bovenbouw</t>
  </si>
  <si>
    <t>Aantal onderbouw</t>
  </si>
  <si>
    <t>Aantal bovenbouw</t>
  </si>
  <si>
    <t>Leerlingen per klas</t>
  </si>
  <si>
    <t>Halen &amp; Brengen</t>
  </si>
  <si>
    <t>Personeel</t>
  </si>
  <si>
    <t>TOTAAL</t>
  </si>
  <si>
    <t>Groepen KDV</t>
  </si>
  <si>
    <t>Kindpl. per groep</t>
  </si>
  <si>
    <t>Groepen BSO</t>
  </si>
  <si>
    <t xml:space="preserve">aantal klassen </t>
  </si>
  <si>
    <t>groepen</t>
  </si>
  <si>
    <t>leerlingen/klas</t>
  </si>
  <si>
    <t>kindpl/groep</t>
  </si>
  <si>
    <t>aantal ll/auto</t>
  </si>
  <si>
    <t>turnover</t>
  </si>
  <si>
    <t>% begeleid naar school</t>
  </si>
  <si>
    <t>% auto ouders</t>
  </si>
  <si>
    <t>% auto personeel</t>
  </si>
  <si>
    <t>docenten/klas</t>
  </si>
  <si>
    <t>overig pers/klas</t>
  </si>
  <si>
    <t>% niet dubbel met school</t>
  </si>
  <si>
    <t>aanleg</t>
  </si>
  <si>
    <t xml:space="preserve">parkeerplaatsen </t>
  </si>
  <si>
    <t>Nodig</t>
  </si>
  <si>
    <t>incl dubbelgebr</t>
  </si>
  <si>
    <t>halen/brengen</t>
  </si>
  <si>
    <t>personeel</t>
  </si>
  <si>
    <t>stallingsplekken</t>
  </si>
  <si>
    <t>kinderen</t>
  </si>
  <si>
    <t>verkeersgeneratie leerlingen</t>
  </si>
  <si>
    <t>verkeersgeneratie personeel</t>
  </si>
  <si>
    <t>Zelfstandig 1 kamer app.</t>
  </si>
  <si>
    <t>Kamerverhuur</t>
  </si>
  <si>
    <t>Tiny houses</t>
  </si>
  <si>
    <t>Veld 1 - Rijwoning Sociaal - Huur</t>
  </si>
  <si>
    <t>Veld 3 - Rijwoning Sociaal - Huur</t>
  </si>
  <si>
    <t>Commerciële dienstverlening (Kantoor met baliefunctie incl. zaterdag)</t>
  </si>
  <si>
    <t>Bedrijfsverzamelgebouw</t>
  </si>
  <si>
    <t>Buurtsupermarkt</t>
  </si>
  <si>
    <t>Discountsupermarkt</t>
  </si>
  <si>
    <t>Fullservice supermarkt (laag en middellaag prijsniveau)</t>
  </si>
  <si>
    <t>Fullservice supermarkt (middelhoog en hoog prijsniveau)</t>
  </si>
  <si>
    <t>Groothandel in levensmiddelen</t>
  </si>
  <si>
    <t>Binnenstad of hoofdwinkel(stads)centrum &gt; 175.000 inwoners</t>
  </si>
  <si>
    <t>Buurt- en dorpscentrum</t>
  </si>
  <si>
    <t>Wijkcentrum (klein)</t>
  </si>
  <si>
    <t>Wijkcentrum (gemiddeld)</t>
  </si>
  <si>
    <t>Wijkcentrum (groot)</t>
  </si>
  <si>
    <t>Stadsdeelcentrum</t>
  </si>
  <si>
    <t>Wijkgebouw</t>
  </si>
  <si>
    <t>Zwembad (overdekt)/zwemparadijs</t>
  </si>
  <si>
    <t>Skihal</t>
  </si>
  <si>
    <t>Dierenpark, Attractie- en pretpark</t>
  </si>
  <si>
    <t>Budgethotel/ -hostel</t>
  </si>
  <si>
    <t>Hotel (Gemiddelde prijsklasse)</t>
  </si>
  <si>
    <t>Luxe hotel</t>
  </si>
  <si>
    <t>Zalenverhuur (met regulier gebruik t.b.v. feesten, muziek- en dansevenementen)</t>
  </si>
  <si>
    <t>Zalenverhuur (zonder regulier gebruik t.b.v. feesten, muziek- en dansevenementen)</t>
  </si>
  <si>
    <t>Bioscoop/Theater</t>
  </si>
  <si>
    <t>Sport / Binnen</t>
  </si>
  <si>
    <t>Sport / Buiten</t>
  </si>
  <si>
    <t>Veld 1 - Rijwoning Betaalbaar - Koop</t>
  </si>
  <si>
    <t>Koop - Grondgebonden - Groter dan 120m2</t>
  </si>
  <si>
    <t>Koop - Grondgebonden - Tussen 90 - 120m2</t>
  </si>
  <si>
    <t>Koop - Grondgebonden - Kleiner dan 90m2</t>
  </si>
  <si>
    <t>Koop - Niet Grondgebonden - Groter dan 90m2</t>
  </si>
  <si>
    <t>Koop - Niet Grondgebonden - Tussen 60 - 90m2</t>
  </si>
  <si>
    <t>Koop - Niet Grondgebonden - Kleiner dan 60m2</t>
  </si>
  <si>
    <t>Huur - Grondgebonden - Groter dan 120m2</t>
  </si>
  <si>
    <t>Huur - Grondgebonden - Kleiner dan 120m2</t>
  </si>
  <si>
    <t>Huur - Grondgebonden - Onder de liberalisatiegrens</t>
  </si>
  <si>
    <t>Huur - Niet Grondgebonden - Groter dan 90m2</t>
  </si>
  <si>
    <t>Huur - Niet Grondgebonden - Kleiner dan 90m2</t>
  </si>
  <si>
    <t>Huur - Niet Grondgebonden - Onder de liberalisatiegrens</t>
  </si>
  <si>
    <t>Totaal Wonen &amp; Onderwijs - Veld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</si>
</sst>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2"/>
      <color theme="1"/>
      <name val="Aptos Narrow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FFFF"/>
      <name val="Calibri"/>
      <family val="2"/>
    </font>
    <font>
      <b/>
      <u/>
      <sz val="12"/>
      <color theme="1"/>
      <name val="Calibri"/>
      <family val="2"/>
    </font>
    <font>
      <sz val="12"/>
      <color rgb="FF262626"/>
      <name val="Calibri"/>
      <family val="2"/>
    </font>
    <font>
      <b/>
      <sz val="11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Aptos"/>
    </font>
    <font>
      <b/>
      <sz val="16"/>
      <color theme="1"/>
      <name val="Calibri"/>
      <family val="2"/>
    </font>
    <font>
      <sz val="16"/>
      <name val="Calibri"/>
      <family val="2"/>
    </font>
    <font>
      <sz val="12"/>
      <color theme="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rgb="FFFEF2CB"/>
        <bgColor rgb="FFFEF2CB"/>
      </patternFill>
    </fill>
    <fill>
      <patternFill patternType="solid">
        <fgColor rgb="FFFBE4D5"/>
        <bgColor rgb="FFFBE4D5"/>
      </patternFill>
    </fill>
    <fill>
      <patternFill patternType="solid">
        <fgColor rgb="FFF4B083"/>
        <bgColor rgb="FFF4B083"/>
      </patternFill>
    </fill>
    <fill>
      <patternFill patternType="solid">
        <fgColor rgb="FFFF7474"/>
        <bgColor rgb="FFEA9999"/>
      </patternFill>
    </fill>
    <fill>
      <patternFill patternType="solid">
        <fgColor rgb="FFFFC6C6"/>
        <bgColor rgb="FFF9CB9C"/>
      </patternFill>
    </fill>
    <fill>
      <patternFill patternType="solid">
        <fgColor rgb="FFAAE571"/>
        <bgColor rgb="FFFFE599"/>
      </patternFill>
    </fill>
    <fill>
      <patternFill patternType="solid">
        <fgColor rgb="FF29B95C"/>
        <bgColor rgb="FFB6D7A8"/>
      </patternFill>
    </fill>
    <fill>
      <patternFill patternType="solid">
        <fgColor rgb="FF76E3FF"/>
        <bgColor rgb="FFA2C4C9"/>
      </patternFill>
    </fill>
    <fill>
      <patternFill patternType="solid">
        <fgColor rgb="FF227ACB"/>
        <bgColor rgb="FFA4C2F4"/>
      </patternFill>
    </fill>
    <fill>
      <patternFill patternType="solid">
        <fgColor rgb="FF6373BA"/>
        <bgColor rgb="FFB4A7D6"/>
      </patternFill>
    </fill>
    <fill>
      <patternFill patternType="solid">
        <fgColor rgb="FFD4D4D4"/>
        <bgColor rgb="FFFFD965"/>
      </patternFill>
    </fill>
    <fill>
      <patternFill patternType="solid">
        <fgColor rgb="FFA2A2A2"/>
        <bgColor rgb="FFFFD965"/>
      </patternFill>
    </fill>
  </fills>
  <borders count="38"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4" xfId="0" applyFont="1" applyBorder="1"/>
    <xf numFmtId="0" fontId="2" fillId="0" borderId="12" xfId="0" applyFont="1" applyBorder="1"/>
    <xf numFmtId="0" fontId="2" fillId="0" borderId="3" xfId="0" applyFont="1" applyBorder="1"/>
    <xf numFmtId="0" fontId="2" fillId="0" borderId="13" xfId="0" applyFont="1" applyBorder="1"/>
    <xf numFmtId="0" fontId="2" fillId="0" borderId="5" xfId="0" applyFont="1" applyBorder="1"/>
    <xf numFmtId="0" fontId="8" fillId="0" borderId="4" xfId="0" applyFont="1" applyBorder="1"/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9" fillId="0" borderId="4" xfId="0" applyFont="1" applyBorder="1"/>
    <xf numFmtId="164" fontId="8" fillId="0" borderId="4" xfId="0" applyNumberFormat="1" applyFont="1" applyBorder="1"/>
    <xf numFmtId="0" fontId="7" fillId="0" borderId="0" xfId="0" applyFont="1"/>
    <xf numFmtId="0" fontId="2" fillId="0" borderId="14" xfId="0" applyFont="1" applyBorder="1"/>
    <xf numFmtId="0" fontId="2" fillId="0" borderId="15" xfId="0" applyFont="1" applyBorder="1"/>
    <xf numFmtId="0" fontId="2" fillId="0" borderId="15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17" xfId="0" applyFont="1" applyBorder="1"/>
    <xf numFmtId="0" fontId="2" fillId="0" borderId="18" xfId="0" applyFont="1" applyBorder="1" applyAlignment="1">
      <alignment horizontal="right"/>
    </xf>
    <xf numFmtId="0" fontId="2" fillId="4" borderId="0" xfId="0" applyFont="1" applyFill="1"/>
    <xf numFmtId="0" fontId="2" fillId="4" borderId="19" xfId="0" applyFont="1" applyFill="1" applyBorder="1"/>
    <xf numFmtId="0" fontId="2" fillId="0" borderId="19" xfId="0" applyFont="1" applyBorder="1"/>
    <xf numFmtId="0" fontId="2" fillId="5" borderId="19" xfId="0" applyFont="1" applyFill="1" applyBorder="1"/>
    <xf numFmtId="0" fontId="2" fillId="0" borderId="7" xfId="0" applyFont="1" applyBorder="1"/>
    <xf numFmtId="0" fontId="2" fillId="0" borderId="4" xfId="0" quotePrefix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wrapText="1"/>
    </xf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9" fontId="2" fillId="0" borderId="6" xfId="0" applyNumberFormat="1" applyFont="1" applyBorder="1" applyAlignment="1">
      <alignment horizontal="center" wrapText="1"/>
    </xf>
    <xf numFmtId="9" fontId="2" fillId="0" borderId="7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9" fontId="2" fillId="0" borderId="0" xfId="0" applyNumberFormat="1" applyFont="1"/>
    <xf numFmtId="0" fontId="6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9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/>
    <xf numFmtId="0" fontId="0" fillId="0" borderId="0" xfId="0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0" fontId="2" fillId="0" borderId="0" xfId="0" applyNumberFormat="1" applyFont="1" applyAlignment="1" applyProtection="1">
      <alignment horizontal="center" vertical="center"/>
      <protection locked="0"/>
    </xf>
    <xf numFmtId="0" fontId="2" fillId="2" borderId="0" xfId="0" quotePrefix="1" applyFont="1" applyFill="1" applyAlignment="1" applyProtection="1">
      <alignment horizontal="center" vertical="center"/>
      <protection locked="0"/>
    </xf>
    <xf numFmtId="1" fontId="2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" fillId="0" borderId="0" xfId="0" applyFont="1"/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0" fontId="1" fillId="0" borderId="25" xfId="0" applyFont="1" applyBorder="1"/>
    <xf numFmtId="1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1" fillId="0" borderId="1" xfId="0" applyFont="1" applyBorder="1"/>
    <xf numFmtId="164" fontId="3" fillId="0" borderId="25" xfId="0" applyNumberFormat="1" applyFont="1" applyBorder="1" applyAlignment="1">
      <alignment horizontal="center" vertical="center"/>
    </xf>
    <xf numFmtId="0" fontId="0" fillId="0" borderId="25" xfId="0" applyBorder="1"/>
    <xf numFmtId="164" fontId="3" fillId="0" borderId="25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31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2" fontId="2" fillId="0" borderId="33" xfId="0" applyNumberFormat="1" applyFont="1" applyBorder="1" applyAlignment="1">
      <alignment horizontal="center" vertical="center"/>
    </xf>
    <xf numFmtId="2" fontId="2" fillId="0" borderId="34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14" borderId="33" xfId="0" applyFont="1" applyFill="1" applyBorder="1" applyAlignment="1">
      <alignment horizontal="center" vertical="center"/>
    </xf>
    <xf numFmtId="0" fontId="2" fillId="0" borderId="33" xfId="0" quotePrefix="1" applyFont="1" applyBorder="1" applyAlignment="1">
      <alignment horizontal="center" vertical="center"/>
    </xf>
    <xf numFmtId="0" fontId="12" fillId="12" borderId="33" xfId="0" applyFont="1" applyFill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" fontId="2" fillId="0" borderId="36" xfId="0" applyNumberFormat="1" applyFont="1" applyBorder="1" applyAlignment="1">
      <alignment horizontal="center" vertical="center"/>
    </xf>
    <xf numFmtId="1" fontId="3" fillId="0" borderId="36" xfId="0" applyNumberFormat="1" applyFont="1" applyBorder="1" applyAlignment="1">
      <alignment horizontal="center" vertical="center"/>
    </xf>
    <xf numFmtId="1" fontId="3" fillId="0" borderId="37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10" borderId="30" xfId="0" applyFont="1" applyFill="1" applyBorder="1" applyAlignment="1">
      <alignment horizontal="center" vertical="center"/>
    </xf>
    <xf numFmtId="0" fontId="2" fillId="2" borderId="30" xfId="0" quotePrefix="1" applyFont="1" applyFill="1" applyBorder="1" applyAlignment="1" applyProtection="1">
      <alignment horizontal="center" vertical="center"/>
      <protection locked="0"/>
    </xf>
    <xf numFmtId="1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0" fillId="0" borderId="0" xfId="0"/>
    <xf numFmtId="0" fontId="2" fillId="0" borderId="24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0" fillId="0" borderId="36" xfId="0" applyBorder="1"/>
    <xf numFmtId="1" fontId="3" fillId="0" borderId="25" xfId="0" applyNumberFormat="1" applyFont="1" applyBorder="1" applyAlignment="1">
      <alignment horizontal="center" vertical="center"/>
    </xf>
    <xf numFmtId="0" fontId="1" fillId="0" borderId="25" xfId="0" applyFont="1" applyBorder="1"/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1" fillId="0" borderId="31" xfId="0" applyFont="1" applyBorder="1"/>
    <xf numFmtId="0" fontId="1" fillId="0" borderId="34" xfId="0" applyFont="1" applyBorder="1"/>
    <xf numFmtId="0" fontId="10" fillId="0" borderId="21" xfId="0" applyFont="1" applyBorder="1" applyAlignment="1">
      <alignment horizontal="center" vertical="center"/>
    </xf>
    <xf numFmtId="0" fontId="11" fillId="0" borderId="22" xfId="0" applyFont="1" applyBorder="1"/>
    <xf numFmtId="164" fontId="10" fillId="0" borderId="22" xfId="0" applyNumberFormat="1" applyFont="1" applyBorder="1" applyAlignment="1">
      <alignment horizontal="center" vertical="center"/>
    </xf>
    <xf numFmtId="0" fontId="11" fillId="0" borderId="23" xfId="0" applyFont="1" applyBorder="1"/>
    <xf numFmtId="2" fontId="2" fillId="0" borderId="25" xfId="0" applyNumberFormat="1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 wrapText="1"/>
    </xf>
    <xf numFmtId="164" fontId="10" fillId="0" borderId="23" xfId="0" applyNumberFormat="1" applyFont="1" applyBorder="1" applyAlignment="1">
      <alignment horizontal="center" vertical="center"/>
    </xf>
    <xf numFmtId="2" fontId="2" fillId="0" borderId="33" xfId="0" applyNumberFormat="1" applyFont="1" applyBorder="1" applyAlignment="1">
      <alignment horizontal="center" vertical="center"/>
    </xf>
    <xf numFmtId="2" fontId="2" fillId="0" borderId="34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3" xfId="0" quotePrefix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/>
    <xf numFmtId="0" fontId="7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7" fillId="0" borderId="10" xfId="0" applyFont="1" applyBorder="1" applyAlignment="1">
      <alignment horizontal="center"/>
    </xf>
  </cellXfs>
  <cellStyles count="1">
    <cellStyle name="Standaard" xfId="0" builtinId="0"/>
  </cellStyles>
  <dxfs count="10">
    <dxf>
      <fill>
        <patternFill patternType="solid">
          <fgColor rgb="FFFCE8B2"/>
          <bgColor rgb="FFFCE8B2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C9DAF8"/>
          <bgColor rgb="FFC9DAF8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C9DAF8"/>
          <bgColor rgb="FFC9DAF8"/>
        </patternFill>
      </fill>
    </dxf>
  </dxfs>
  <tableStyles count="0" defaultTableStyle="TableStyleMedium2" defaultPivotStyle="PivotStyleLight16"/>
  <colors>
    <mruColors>
      <color rgb="FFFBF1EB"/>
      <color rgb="FFD4B1B2"/>
      <color rgb="FFFFDBDC"/>
      <color rgb="FFF4CCCC"/>
      <color rgb="FFFFD9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0</xdr:rowOff>
    </xdr:from>
    <xdr:to>
      <xdr:col>13</xdr:col>
      <xdr:colOff>872460</xdr:colOff>
      <xdr:row>83</xdr:row>
      <xdr:rowOff>88900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1D7A64BA-52EE-8E54-199B-2B162646E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12750800"/>
          <a:ext cx="22792660" cy="476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5E5A2-8F89-FF47-8443-705C0F0F53B4}">
  <dimension ref="A1:AR58"/>
  <sheetViews>
    <sheetView tabSelected="1" topLeftCell="Q9" zoomScaleNormal="100" workbookViewId="0">
      <selection activeCell="I42" sqref="I42"/>
    </sheetView>
  </sheetViews>
  <sheetFormatPr defaultColWidth="14.1875" defaultRowHeight="15.75" x14ac:dyDescent="0.5"/>
  <cols>
    <col min="1" max="1" width="13" bestFit="1" customWidth="1"/>
    <col min="2" max="2" width="5.5" hidden="1" customWidth="1"/>
    <col min="3" max="3" width="54.8125" bestFit="1" customWidth="1"/>
    <col min="4" max="4" width="45.3125" bestFit="1" customWidth="1"/>
    <col min="5" max="15" width="20.8125" customWidth="1"/>
    <col min="16" max="16" width="3.1875" bestFit="1" customWidth="1"/>
    <col min="17" max="17" width="46.6875" bestFit="1" customWidth="1"/>
    <col min="18" max="25" width="20.8125" customWidth="1"/>
    <col min="26" max="26" width="16" bestFit="1" customWidth="1"/>
    <col min="27" max="28" width="16" style="66" bestFit="1" customWidth="1"/>
    <col min="29" max="29" width="54.8125" style="66" bestFit="1" customWidth="1"/>
    <col min="30" max="30" width="27.3125" style="66" bestFit="1" customWidth="1"/>
    <col min="31" max="31" width="30.3125" style="66" bestFit="1" customWidth="1"/>
    <col min="32" max="32" width="7.6875" style="66" bestFit="1" customWidth="1"/>
    <col min="33" max="16384" width="14.1875" style="66"/>
  </cols>
  <sheetData>
    <row r="1" spans="1:44" ht="21" x14ac:dyDescent="0.65">
      <c r="A1" s="149" t="s">
        <v>0</v>
      </c>
      <c r="B1" s="150"/>
      <c r="C1" s="150"/>
      <c r="D1" s="150"/>
      <c r="E1" s="151" t="s">
        <v>1</v>
      </c>
      <c r="F1" s="150"/>
      <c r="G1" s="150"/>
      <c r="H1" s="150"/>
      <c r="I1" s="150"/>
      <c r="J1" s="150"/>
      <c r="K1" s="150"/>
      <c r="L1" s="150"/>
      <c r="M1" s="150"/>
      <c r="N1" s="150"/>
      <c r="O1" s="152"/>
      <c r="P1" s="88"/>
      <c r="Q1" s="149" t="s">
        <v>2</v>
      </c>
      <c r="R1" s="150"/>
      <c r="S1" s="150"/>
      <c r="T1" s="151" t="str">
        <f>E1</f>
        <v>Nobelhorst - Fase 5</v>
      </c>
      <c r="U1" s="151"/>
      <c r="V1" s="151"/>
      <c r="W1" s="151"/>
      <c r="X1" s="151"/>
      <c r="Y1" s="155"/>
      <c r="Z1" s="73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44" ht="31.5" x14ac:dyDescent="0.5">
      <c r="A2" s="71" t="s">
        <v>3</v>
      </c>
      <c r="B2" s="43"/>
      <c r="C2" s="56" t="s">
        <v>4</v>
      </c>
      <c r="D2" s="56" t="s">
        <v>5</v>
      </c>
      <c r="E2" s="56" t="str">
        <f>IF(C2="Functie Wonen","Parkeernorm Bewoners","Parkeernorm Voorziening")</f>
        <v>Parkeernorm Bewoners</v>
      </c>
      <c r="F2" s="56" t="str">
        <f>IF(C2="Functie Wonen","Parkeernorm Bezoekers","")</f>
        <v>Parkeernorm Bezoekers</v>
      </c>
      <c r="G2" s="56" t="s">
        <v>6</v>
      </c>
      <c r="H2" s="56" t="s">
        <v>7</v>
      </c>
      <c r="I2" s="56" t="str">
        <f>IF(C2="Functie Wonen","Reductiefactor Bewoners","Reductiefactor Voorziening")</f>
        <v>Reductiefactor Bewoners</v>
      </c>
      <c r="J2" s="56" t="str">
        <f>IF(C2="Functie Wonen","Berekeningsaantal Bewoners","Berekeningsaantal Voorziening")</f>
        <v>Berekeningsaantal Bewoners</v>
      </c>
      <c r="K2" s="56" t="str">
        <f>IF(C2="Functie Wonen","Berekeningsaantal Bezoekers","")</f>
        <v>Berekeningsaantal Bezoekers</v>
      </c>
      <c r="L2" s="56" t="s">
        <v>8</v>
      </c>
      <c r="M2" s="56" t="str">
        <f>IF(C2="Functie Wonen","Aantal pp Bewoners","Aantal pp Voorziening")</f>
        <v>Aantal pp Bewoners</v>
      </c>
      <c r="N2" s="56" t="str">
        <f>IF(C2="Functie Wonen","Aantal pp Bezoekers","")</f>
        <v>Aantal pp Bezoekers</v>
      </c>
      <c r="O2" s="106" t="s">
        <v>9</v>
      </c>
      <c r="P2" s="88"/>
      <c r="Q2" s="82" t="str">
        <f>C2</f>
        <v>Functie Wonen</v>
      </c>
      <c r="R2" s="56" t="s">
        <v>10</v>
      </c>
      <c r="S2" s="56" t="s">
        <v>11</v>
      </c>
      <c r="T2" s="56" t="s">
        <v>12</v>
      </c>
      <c r="U2" s="56" t="s">
        <v>13</v>
      </c>
      <c r="V2" s="56" t="s">
        <v>14</v>
      </c>
      <c r="W2" s="56" t="s">
        <v>15</v>
      </c>
      <c r="X2" s="56" t="s">
        <v>16</v>
      </c>
      <c r="Y2" s="107" t="s">
        <v>17</v>
      </c>
      <c r="Z2" s="73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</row>
    <row r="3" spans="1:44" ht="16.05" customHeight="1" x14ac:dyDescent="0.5">
      <c r="A3" s="72" t="s">
        <v>18</v>
      </c>
      <c r="B3" s="73">
        <f>VLOOKUP(A3,'Parkeernormen Auto'!$AB$2:$AD$12,2,FALSE)</f>
        <v>7</v>
      </c>
      <c r="C3" s="73" t="s">
        <v>269</v>
      </c>
      <c r="D3" s="74" t="s">
        <v>19</v>
      </c>
      <c r="E3" s="144">
        <f>IF(C3="","",VLOOKUP(C3,'Parkeernormen Auto'!$A$2:$P$130,B3,FALSE))</f>
        <v>0.8</v>
      </c>
      <c r="F3" s="144">
        <f>IF(C3="","",IF(F2="","",VLOOKUP(C3,'Parkeernormen Auto'!$A$2:$P$130,B3+1,FALSE)))</f>
        <v>0.2</v>
      </c>
      <c r="G3" s="145" t="str">
        <f>IF(C3="","",VLOOKUP(C3,'Parkeernormen Auto'!$A$2:$B$130,2,FALSE))</f>
        <v>Per woning</v>
      </c>
      <c r="H3" s="146" t="s">
        <v>20</v>
      </c>
      <c r="I3" s="144">
        <f>IF(C3="","",IF(VLOOKUP(H3,'Parkeernormen Auto'!$AF$2:$AG$12,2,)&gt;E3,E3,VLOOKUP(H3,'Parkeernormen Auto'!$AF$2:$AG$12,2,)))</f>
        <v>0</v>
      </c>
      <c r="J3" s="144">
        <f t="shared" ref="J3:J18" si="0">IF(C3="","",IF(E3="Rekentool","Rekentool",IF(E3-I3&lt;0,0,E3-I3)))</f>
        <v>0.8</v>
      </c>
      <c r="K3" s="144">
        <f t="shared" ref="K3:K18" si="1">IF(F3="","",IF(E3&lt;I3,I3-(E3+F3),F3))</f>
        <v>0.2</v>
      </c>
      <c r="L3" s="139">
        <v>60</v>
      </c>
      <c r="M3" s="144">
        <f>IF(C3="","",IF(OR(C3='Parkeernormen Auto'!$A$118,C3='Parkeernormen Auto'!$A$119,C3='Parkeernormen Auto'!$A$120,C3='Parkeernormen Auto'!$A$121,C3='Parkeernormen Auto'!$A$122,C3='Parkeernormen Auto'!$A$123,C3='Parkeernormen Auto'!$A$124,C3='Parkeernormen Auto'!$A$125),VLOOKUP($E$1,'Rekentool KDV &amp; BSO Basisschool'!$O$3:$AK$14,IF(C3='Parkeernormen Auto'!$A$118,'Rekentool KDV &amp; BSO Basisschool'!$S$2,IF(C3='Parkeernormen Auto'!$A$119,'Rekentool KDV &amp; BSO Basisschool'!$Y$2,IF(C3='Parkeernormen Auto'!$A$120,'Rekentool KDV &amp; BSO Basisschool'!$AD$2,IF(C3='Parkeernormen Auto'!$A$121,'Rekentool KDV &amp; BSO Basisschool'!$AI$2,IF(C3='Parkeernormen Auto'!$A$122,'Rekentool KDV &amp; BSO Basisschool'!$T$2,IF(C3='Parkeernormen Auto'!$A$123,'Rekentool KDV &amp; BSO Basisschool'!$Z$2,IF(C3='Parkeernormen Auto'!$A$124,'Rekentool KDV &amp; BSO Basisschool'!$AE$2,IF(C3='Parkeernormen Auto'!$A$125,'Rekentool KDV &amp; BSO Basisschool'!$AJ$2,"")))))))),FALSE),L3*J3))</f>
        <v>48</v>
      </c>
      <c r="N3" s="144">
        <f>IF(C3="","",IF(F3="","",L3*K3))</f>
        <v>12</v>
      </c>
      <c r="O3" s="154">
        <v>53</v>
      </c>
      <c r="P3" s="102"/>
      <c r="Q3" s="72" t="str">
        <f t="shared" ref="Q3:Q20" si="2">D3</f>
        <v>Veld 1 - Appartementen Midden - Huur</v>
      </c>
      <c r="R3" s="144">
        <f>IF($C3="","",IF($N3="",IF(VLOOKUP($C3,'Parkeernormen Auto'!$A$2:$Z$130,'Parkeernormen Auto'!S$19,FALSE)="-","-",$M3*VLOOKUP($C3,'Parkeernormen Auto'!$A$2:$Z$130,'Parkeernormen Auto'!S$19,FALSE)),($M3)+($N3*'Parkeernormen Auto'!S$3)))</f>
        <v>49.2</v>
      </c>
      <c r="S3" s="144">
        <f>IF($C3="","",IF($N3="",IF(VLOOKUP($C3,'Parkeernormen Auto'!$A$2:$Z$130,'Parkeernormen Auto'!T$19,FALSE)="-","-",$M3*VLOOKUP($C3,'Parkeernormen Auto'!$A$2:$Z$130,'Parkeernormen Auto'!T$19,FALSE)),($M3)+($N3*'Parkeernormen Auto'!T$3)))</f>
        <v>50.4</v>
      </c>
      <c r="T3" s="144">
        <f>IF($C3="","",IF($N3="",IF(VLOOKUP($C3,'Parkeernormen Auto'!$A$2:$Z$130,'Parkeernormen Auto'!U$19,FALSE)="-","-",$M3*VLOOKUP($C3,'Parkeernormen Auto'!$A$2:$Z$130,'Parkeernormen Auto'!U$19,FALSE)),($M3)+($N3*'Parkeernormen Auto'!U$3)))</f>
        <v>57.6</v>
      </c>
      <c r="U3" s="144">
        <f>IF($C3="","",IF($N3="",IF(VLOOKUP($C3,'Parkeernormen Auto'!$A$2:$Z$130,'Parkeernormen Auto'!V$19,FALSE)="-","-",$M3*VLOOKUP($C3,'Parkeernormen Auto'!$A$2:$Z$130,'Parkeernormen Auto'!V$19,FALSE)),($M3)+($N3*'Parkeernormen Auto'!V$3)))</f>
        <v>48</v>
      </c>
      <c r="V3" s="144">
        <f>IF($C3="","",IF($N3="",IF(VLOOKUP($C3,'Parkeernormen Auto'!$A$2:$Z$130,'Parkeernormen Auto'!W$19,FALSE)="-","-",$M3*VLOOKUP($C3,'Parkeernormen Auto'!$A$2:$Z$130,'Parkeernormen Auto'!W$19,FALSE)),($M3)+($N3*'Parkeernormen Auto'!W$3)))</f>
        <v>56.4</v>
      </c>
      <c r="W3" s="144">
        <f>IF($C3="","",IF($N3="",IF(VLOOKUP($C3,'Parkeernormen Auto'!$A$2:$Z$130,'Parkeernormen Auto'!X$19,FALSE)="-","-",$M3*VLOOKUP($C3,'Parkeernormen Auto'!$A$2:$Z$130,'Parkeernormen Auto'!X$19,FALSE)),($M3)+($N3*'Parkeernormen Auto'!X$3)))</f>
        <v>55.2</v>
      </c>
      <c r="X3" s="144">
        <f>IF($C3="","",IF($N3="",IF(VLOOKUP($C3,'Parkeernormen Auto'!$A$2:$Z$130,'Parkeernormen Auto'!Y$19,FALSE)="-","-",$M3*VLOOKUP($C3,'Parkeernormen Auto'!$A$2:$Z$130,'Parkeernormen Auto'!Y$19,FALSE)),($M3)+($N3*'Parkeernormen Auto'!Y$3)))</f>
        <v>60</v>
      </c>
      <c r="Y3" s="153">
        <f>IF($C3="","",IF($N3="",IF(VLOOKUP($C3,'Parkeernormen Auto'!$A$2:$Z$130,'Parkeernormen Auto'!Z$19,FALSE)="-","-",$M3*VLOOKUP($C3,'Parkeernormen Auto'!$A$2:$Z$130,'Parkeernormen Auto'!Z$19,FALSE)),($M3)+($N3*'Parkeernormen Auto'!Z$3)))</f>
        <v>56.4</v>
      </c>
      <c r="Z3" s="89"/>
      <c r="AA3" s="67"/>
      <c r="AB3" s="64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</row>
    <row r="4" spans="1:44" x14ac:dyDescent="0.5">
      <c r="A4" s="72" t="s">
        <v>18</v>
      </c>
      <c r="B4" s="73">
        <f>VLOOKUP(A4,'Parkeernormen Auto'!$AB$2:$AD$12,2,FALSE)</f>
        <v>7</v>
      </c>
      <c r="C4" s="73" t="s">
        <v>269</v>
      </c>
      <c r="D4" s="75" t="s">
        <v>21</v>
      </c>
      <c r="E4" s="144"/>
      <c r="F4" s="144"/>
      <c r="G4" s="145"/>
      <c r="H4" s="146"/>
      <c r="I4" s="144"/>
      <c r="J4" s="144"/>
      <c r="K4" s="144"/>
      <c r="L4" s="139"/>
      <c r="M4" s="144"/>
      <c r="N4" s="144"/>
      <c r="O4" s="154"/>
      <c r="Q4" s="72" t="str">
        <f t="shared" si="2"/>
        <v>Veld 1 - Appartementen Sociaal - Huur</v>
      </c>
      <c r="R4" s="144"/>
      <c r="S4" s="144">
        <f>IF($C4="","",IF($N4="",IF(VLOOKUP($C4,'Parkeernormen Auto'!$A$2:$Z$130,'Parkeernormen Auto'!T$19,FALSE)="-","-",$M4*VLOOKUP($C4,'Parkeernormen Auto'!$A$2:$Z$130,'Parkeernormen Auto'!T$19,FALSE)),($M4)+($N4*'Parkeernormen Auto'!T$3)))</f>
        <v>0</v>
      </c>
      <c r="T4" s="144">
        <f>IF($C4="","",IF($N4="",IF(VLOOKUP($C4,'Parkeernormen Auto'!$A$2:$Z$130,'Parkeernormen Auto'!U$19,FALSE)="-","-",$M4*VLOOKUP($C4,'Parkeernormen Auto'!$A$2:$Z$130,'Parkeernormen Auto'!U$19,FALSE)),($M4)+($N4*'Parkeernormen Auto'!U$3)))</f>
        <v>0</v>
      </c>
      <c r="U4" s="144">
        <f>IF($C4="","",IF($N4="",IF(VLOOKUP($C4,'Parkeernormen Auto'!$A$2:$Z$130,'Parkeernormen Auto'!V$19,FALSE)="-","-",$M4*VLOOKUP($C4,'Parkeernormen Auto'!$A$2:$Z$130,'Parkeernormen Auto'!V$19,FALSE)),($M4)+($N4*'Parkeernormen Auto'!V$3)))</f>
        <v>0</v>
      </c>
      <c r="V4" s="144">
        <f>IF($C4="","",IF($N4="",IF(VLOOKUP($C4,'Parkeernormen Auto'!$A$2:$Z$130,'Parkeernormen Auto'!W$19,FALSE)="-","-",$M4*VLOOKUP($C4,'Parkeernormen Auto'!$A$2:$Z$130,'Parkeernormen Auto'!W$19,FALSE)),($M4)+($N4*'Parkeernormen Auto'!W$3)))</f>
        <v>0</v>
      </c>
      <c r="W4" s="144">
        <f>IF($C4="","",IF($N4="",IF(VLOOKUP($C4,'Parkeernormen Auto'!$A$2:$Z$130,'Parkeernormen Auto'!X$19,FALSE)="-","-",$M4*VLOOKUP($C4,'Parkeernormen Auto'!$A$2:$Z$130,'Parkeernormen Auto'!X$19,FALSE)),($M4)+($N4*'Parkeernormen Auto'!X$3)))</f>
        <v>0</v>
      </c>
      <c r="X4" s="144">
        <f>IF($C4="","",IF($N4="",IF(VLOOKUP($C4,'Parkeernormen Auto'!$A$2:$Z$130,'Parkeernormen Auto'!Y$19,FALSE)="-","-",$M4*VLOOKUP($C4,'Parkeernormen Auto'!$A$2:$Z$130,'Parkeernormen Auto'!Y$19,FALSE)),($M4)+($N4*'Parkeernormen Auto'!Y$3)))</f>
        <v>0</v>
      </c>
      <c r="Y4" s="153">
        <f>IF($C4="","",IF($N4="",IF(VLOOKUP($C4,'Parkeernormen Auto'!$A$2:$Z$130,'Parkeernormen Auto'!Z$19,FALSE)="-","-",$M4*VLOOKUP($C4,'Parkeernormen Auto'!$A$2:$Z$130,'Parkeernormen Auto'!Z$19,FALSE)),($M4)+($N4*'Parkeernormen Auto'!Z$3)))</f>
        <v>0</v>
      </c>
      <c r="Z4" s="89"/>
      <c r="AA4" s="67"/>
      <c r="AB4" s="64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1:44" x14ac:dyDescent="0.5">
      <c r="A5" s="72"/>
      <c r="B5" s="73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100"/>
      <c r="Q5" s="72"/>
      <c r="R5" s="90"/>
      <c r="S5" s="90"/>
      <c r="T5" s="90"/>
      <c r="U5" s="90"/>
      <c r="V5" s="90"/>
      <c r="W5" s="90"/>
      <c r="X5" s="90"/>
      <c r="Y5" s="91"/>
      <c r="Z5" s="89"/>
      <c r="AA5" s="67"/>
      <c r="AB5" s="64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</row>
    <row r="6" spans="1:44" x14ac:dyDescent="0.5">
      <c r="A6" s="72" t="s">
        <v>18</v>
      </c>
      <c r="B6" s="73">
        <f>VLOOKUP(A6,'Parkeernormen Auto'!$AB$2:$AD$12,2,FALSE)</f>
        <v>7</v>
      </c>
      <c r="C6" s="73" t="s">
        <v>258</v>
      </c>
      <c r="D6" s="77" t="s">
        <v>22</v>
      </c>
      <c r="E6" s="90">
        <f>IF(C6="","",VLOOKUP(C6,'Parkeernormen Auto'!$A$2:$P$130,B6,FALSE))</f>
        <v>1.7</v>
      </c>
      <c r="F6" s="90">
        <f>IF(C6="","",IF(F3="","",VLOOKUP(C6,'Parkeernormen Auto'!$A$2:$P$130,B6+1,FALSE)))</f>
        <v>0.2</v>
      </c>
      <c r="G6" s="73" t="str">
        <f>IF(C6="","",VLOOKUP(C6,'Parkeernormen Auto'!$A$2:$B$130,2,FALSE))</f>
        <v>Per woning</v>
      </c>
      <c r="H6" s="68" t="s">
        <v>20</v>
      </c>
      <c r="I6" s="90">
        <f>IF(C6="","",IF(VLOOKUP(H6,'Parkeernormen Auto'!$AF$2:$AG$12,2,)&gt;E6,E6,VLOOKUP(H6,'Parkeernormen Auto'!$AF$2:$AG$12,2,)))</f>
        <v>0</v>
      </c>
      <c r="J6" s="90">
        <f t="shared" si="0"/>
        <v>1.7</v>
      </c>
      <c r="K6" s="90">
        <f t="shared" si="1"/>
        <v>0.2</v>
      </c>
      <c r="L6" s="69"/>
      <c r="M6" s="90">
        <f>IF(C6="","",IF(OR(C6='Parkeernormen Auto'!$A$118,C6='Parkeernormen Auto'!$A$119,C6='Parkeernormen Auto'!$A$120,C6='Parkeernormen Auto'!$A$121,C6='Parkeernormen Auto'!$A$122,C6='Parkeernormen Auto'!$A$123,C6='Parkeernormen Auto'!$A$124,C6='Parkeernormen Auto'!$A$125),VLOOKUP($E$1,'Rekentool KDV &amp; BSO Basisschool'!$O$3:$AK$14,IF(C6='Parkeernormen Auto'!$A$118,'Rekentool KDV &amp; BSO Basisschool'!$S$2,IF(C6='Parkeernormen Auto'!$A$119,'Rekentool KDV &amp; BSO Basisschool'!$Y$2,IF(C6='Parkeernormen Auto'!$A$120,'Rekentool KDV &amp; BSO Basisschool'!$AD$2,IF(C6='Parkeernormen Auto'!$A$121,'Rekentool KDV &amp; BSO Basisschool'!$AI$2,IF(C6='Parkeernormen Auto'!$A$122,'Rekentool KDV &amp; BSO Basisschool'!$T$2,IF(C6='Parkeernormen Auto'!$A$123,'Rekentool KDV &amp; BSO Basisschool'!$Z$2,IF(C6='Parkeernormen Auto'!$A$124,'Rekentool KDV &amp; BSO Basisschool'!$AE$2,IF(C6='Parkeernormen Auto'!$A$125,'Rekentool KDV &amp; BSO Basisschool'!$AJ$2,"")))))))),FALSE),L6*J6))</f>
        <v>0</v>
      </c>
      <c r="N6" s="90">
        <f t="shared" ref="N6:N11" si="3">IF(C6="","",IF(F6="","",L6*K6))</f>
        <v>0</v>
      </c>
      <c r="O6" s="142">
        <v>108</v>
      </c>
      <c r="P6" s="101"/>
      <c r="Q6" s="72" t="str">
        <f t="shared" si="2"/>
        <v>Veld 2 - Rijwoning Vrije Sector Midden - Koop</v>
      </c>
      <c r="R6" s="90">
        <f>IF($C6="","",IF($N6="",IF(VLOOKUP($C6,'Parkeernormen Auto'!$A$2:$Z$130,'Parkeernormen Auto'!S$19,FALSE)="-","-",$M6*VLOOKUP($C6,'Parkeernormen Auto'!$A$2:$Z$130,'Parkeernormen Auto'!S$19,FALSE)),($M6)+($N6*'Parkeernormen Auto'!S$3)))</f>
        <v>0</v>
      </c>
      <c r="S6" s="90">
        <f>IF($C6="","",IF($N6="",IF(VLOOKUP($C6,'Parkeernormen Auto'!$A$2:$Z$130,'Parkeernormen Auto'!T$19,FALSE)="-","-",$M6*VLOOKUP($C6,'Parkeernormen Auto'!$A$2:$Z$130,'Parkeernormen Auto'!T$19,FALSE)),($M6)+($N6*'Parkeernormen Auto'!T$3)))</f>
        <v>0</v>
      </c>
      <c r="T6" s="90">
        <f>IF($C6="","",IF($N6="",IF(VLOOKUP($C6,'Parkeernormen Auto'!$A$2:$Z$130,'Parkeernormen Auto'!U$19,FALSE)="-","-",$M6*VLOOKUP($C6,'Parkeernormen Auto'!$A$2:$Z$130,'Parkeernormen Auto'!U$19,FALSE)),($M6)+($N6*'Parkeernormen Auto'!U$3)))</f>
        <v>0</v>
      </c>
      <c r="U6" s="90">
        <f>IF($C6="","",IF($N6="",IF(VLOOKUP($C6,'Parkeernormen Auto'!$A$2:$Z$130,'Parkeernormen Auto'!V$19,FALSE)="-","-",$M6*VLOOKUP($C6,'Parkeernormen Auto'!$A$2:$Z$130,'Parkeernormen Auto'!V$19,FALSE)),($M6)+($N6*'Parkeernormen Auto'!V$3)))</f>
        <v>0</v>
      </c>
      <c r="V6" s="90">
        <f>IF($C6="","",IF($N6="",IF(VLOOKUP($C6,'Parkeernormen Auto'!$A$2:$Z$130,'Parkeernormen Auto'!W$19,FALSE)="-","-",$M6*VLOOKUP($C6,'Parkeernormen Auto'!$A$2:$Z$130,'Parkeernormen Auto'!W$19,FALSE)),($M6)+($N6*'Parkeernormen Auto'!W$3)))</f>
        <v>0</v>
      </c>
      <c r="W6" s="90">
        <f>IF($C6="","",IF($N6="",IF(VLOOKUP($C6,'Parkeernormen Auto'!$A$2:$Z$130,'Parkeernormen Auto'!X$19,FALSE)="-","-",$M6*VLOOKUP($C6,'Parkeernormen Auto'!$A$2:$Z$130,'Parkeernormen Auto'!X$19,FALSE)),($M6)+($N6*'Parkeernormen Auto'!X$3)))</f>
        <v>0</v>
      </c>
      <c r="X6" s="90">
        <f>IF($C6="","",IF($N6="",IF(VLOOKUP($C6,'Parkeernormen Auto'!$A$2:$Z$130,'Parkeernormen Auto'!Y$19,FALSE)="-","-",$M6*VLOOKUP($C6,'Parkeernormen Auto'!$A$2:$Z$130,'Parkeernormen Auto'!Y$19,FALSE)),($M6)+($N6*'Parkeernormen Auto'!Y$3)))</f>
        <v>0</v>
      </c>
      <c r="Y6" s="91">
        <f>IF($C6="","",IF($N6="",IF(VLOOKUP($C6,'Parkeernormen Auto'!$A$2:$Z$130,'Parkeernormen Auto'!Z$19,FALSE)="-","-",$M6*VLOOKUP($C6,'Parkeernormen Auto'!$A$2:$Z$130,'Parkeernormen Auto'!Z$19,FALSE)),($M6)+($N6*'Parkeernormen Auto'!Z$3)))</f>
        <v>0</v>
      </c>
      <c r="Z6" s="89"/>
      <c r="AA6" s="67"/>
      <c r="AB6" s="64"/>
      <c r="AC6" s="65"/>
      <c r="AD6" s="70"/>
      <c r="AE6" s="70"/>
      <c r="AF6" s="70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</row>
    <row r="7" spans="1:44" x14ac:dyDescent="0.5">
      <c r="A7" s="72" t="s">
        <v>18</v>
      </c>
      <c r="B7" s="73">
        <f>VLOOKUP(A7,'Parkeernormen Auto'!$AB$2:$AD$12,2,FALSE)</f>
        <v>7</v>
      </c>
      <c r="C7" s="73" t="s">
        <v>259</v>
      </c>
      <c r="D7" s="78" t="s">
        <v>24</v>
      </c>
      <c r="E7" s="90">
        <f>IF(C7="","",VLOOKUP(C7,'Parkeernormen Auto'!$A$2:$P$130,B7,FALSE))</f>
        <v>1.6</v>
      </c>
      <c r="F7" s="90">
        <f>IF(C7="","",IF(F6="","",VLOOKUP(C7,'Parkeernormen Auto'!$A$2:$P$130,B7+1,FALSE)))</f>
        <v>0.2</v>
      </c>
      <c r="G7" s="73" t="str">
        <f>IF(C7="","",VLOOKUP(C7,'Parkeernormen Auto'!$A$2:$B$130,2,FALSE))</f>
        <v>Per woning</v>
      </c>
      <c r="H7" s="68" t="s">
        <v>20</v>
      </c>
      <c r="I7" s="90">
        <f>IF(C7="","",IF(VLOOKUP(H7,'Parkeernormen Auto'!$AF$2:$AG$12,2,)&gt;E7,E7,VLOOKUP(H7,'Parkeernormen Auto'!$AF$2:$AG$12,2,)))</f>
        <v>0</v>
      </c>
      <c r="J7" s="90">
        <f t="shared" si="0"/>
        <v>1.6</v>
      </c>
      <c r="K7" s="90">
        <f t="shared" si="1"/>
        <v>0.2</v>
      </c>
      <c r="L7" s="69"/>
      <c r="M7" s="90">
        <f>IF(C7="","",IF(OR(C7='Parkeernormen Auto'!$A$118,C7='Parkeernormen Auto'!$A$119,C7='Parkeernormen Auto'!$A$120,C7='Parkeernormen Auto'!$A$121,C7='Parkeernormen Auto'!$A$122,C7='Parkeernormen Auto'!$A$123,C7='Parkeernormen Auto'!$A$124,C7='Parkeernormen Auto'!$A$125),VLOOKUP($E$1,'Rekentool KDV &amp; BSO Basisschool'!$O$3:$AK$14,IF(C7='Parkeernormen Auto'!$A$118,'Rekentool KDV &amp; BSO Basisschool'!$S$2,IF(C7='Parkeernormen Auto'!$A$119,'Rekentool KDV &amp; BSO Basisschool'!$Y$2,IF(C7='Parkeernormen Auto'!$A$120,'Rekentool KDV &amp; BSO Basisschool'!$AD$2,IF(C7='Parkeernormen Auto'!$A$121,'Rekentool KDV &amp; BSO Basisschool'!$AI$2,IF(C7='Parkeernormen Auto'!$A$122,'Rekentool KDV &amp; BSO Basisschool'!$T$2,IF(C7='Parkeernormen Auto'!$A$123,'Rekentool KDV &amp; BSO Basisschool'!$Z$2,IF(C7='Parkeernormen Auto'!$A$124,'Rekentool KDV &amp; BSO Basisschool'!$AE$2,IF(C7='Parkeernormen Auto'!$A$125,'Rekentool KDV &amp; BSO Basisschool'!$AJ$2,"")))))))),FALSE),L7*J7))</f>
        <v>0</v>
      </c>
      <c r="N7" s="90">
        <f t="shared" si="3"/>
        <v>0</v>
      </c>
      <c r="O7" s="143"/>
      <c r="P7" s="88"/>
      <c r="Q7" s="72" t="str">
        <f t="shared" si="2"/>
        <v>Veld 2 - Rijwoning Vrije Sector Klein - Koop</v>
      </c>
      <c r="R7" s="90">
        <f>IF($C7="","",IF($N7="",IF(VLOOKUP($C7,'Parkeernormen Auto'!$A$2:$Z$130,'Parkeernormen Auto'!S$19,FALSE)="-","-",$M7*VLOOKUP($C7,'Parkeernormen Auto'!$A$2:$Z$130,'Parkeernormen Auto'!S$19,FALSE)),($M7)+($N7*'Parkeernormen Auto'!S$3)))</f>
        <v>0</v>
      </c>
      <c r="S7" s="90">
        <f>IF($C7="","",IF($N7="",IF(VLOOKUP($C7,'Parkeernormen Auto'!$A$2:$Z$130,'Parkeernormen Auto'!T$19,FALSE)="-","-",$M7*VLOOKUP($C7,'Parkeernormen Auto'!$A$2:$Z$130,'Parkeernormen Auto'!T$19,FALSE)),($M7)+($N7*'Parkeernormen Auto'!T$3)))</f>
        <v>0</v>
      </c>
      <c r="T7" s="90">
        <f>IF($C7="","",IF($N7="",IF(VLOOKUP($C7,'Parkeernormen Auto'!$A$2:$Z$130,'Parkeernormen Auto'!U$19,FALSE)="-","-",$M7*VLOOKUP($C7,'Parkeernormen Auto'!$A$2:$Z$130,'Parkeernormen Auto'!U$19,FALSE)),($M7)+($N7*'Parkeernormen Auto'!U$3)))</f>
        <v>0</v>
      </c>
      <c r="U7" s="90">
        <f>IF($C7="","",IF($N7="",IF(VLOOKUP($C7,'Parkeernormen Auto'!$A$2:$Z$130,'Parkeernormen Auto'!V$19,FALSE)="-","-",$M7*VLOOKUP($C7,'Parkeernormen Auto'!$A$2:$Z$130,'Parkeernormen Auto'!V$19,FALSE)),($M7)+($N7*'Parkeernormen Auto'!V$3)))</f>
        <v>0</v>
      </c>
      <c r="V7" s="90">
        <f>IF($C7="","",IF($N7="",IF(VLOOKUP($C7,'Parkeernormen Auto'!$A$2:$Z$130,'Parkeernormen Auto'!W$19,FALSE)="-","-",$M7*VLOOKUP($C7,'Parkeernormen Auto'!$A$2:$Z$130,'Parkeernormen Auto'!W$19,FALSE)),($M7)+($N7*'Parkeernormen Auto'!W$3)))</f>
        <v>0</v>
      </c>
      <c r="W7" s="90">
        <f>IF($C7="","",IF($N7="",IF(VLOOKUP($C7,'Parkeernormen Auto'!$A$2:$Z$130,'Parkeernormen Auto'!X$19,FALSE)="-","-",$M7*VLOOKUP($C7,'Parkeernormen Auto'!$A$2:$Z$130,'Parkeernormen Auto'!X$19,FALSE)),($M7)+($N7*'Parkeernormen Auto'!X$3)))</f>
        <v>0</v>
      </c>
      <c r="X7" s="90">
        <f>IF($C7="","",IF($N7="",IF(VLOOKUP($C7,'Parkeernormen Auto'!$A$2:$Z$130,'Parkeernormen Auto'!Y$19,FALSE)="-","-",$M7*VLOOKUP($C7,'Parkeernormen Auto'!$A$2:$Z$130,'Parkeernormen Auto'!Y$19,FALSE)),($M7)+($N7*'Parkeernormen Auto'!Y$3)))</f>
        <v>0</v>
      </c>
      <c r="Y7" s="91">
        <f>IF($C7="","",IF($N7="",IF(VLOOKUP($C7,'Parkeernormen Auto'!$A$2:$Z$130,'Parkeernormen Auto'!Z$19,FALSE)="-","-",$M7*VLOOKUP($C7,'Parkeernormen Auto'!$A$2:$Z$130,'Parkeernormen Auto'!Z$19,FALSE)),($M7)+($N7*'Parkeernormen Auto'!Z$3)))</f>
        <v>0</v>
      </c>
      <c r="Z7" s="89"/>
      <c r="AA7" s="67"/>
      <c r="AB7" s="64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</row>
    <row r="8" spans="1:44" x14ac:dyDescent="0.5">
      <c r="A8" s="72" t="s">
        <v>18</v>
      </c>
      <c r="B8" s="73">
        <f>VLOOKUP(A8,'Parkeernormen Auto'!$AB$2:$AD$12,2,FALSE)</f>
        <v>7</v>
      </c>
      <c r="C8" s="73" t="s">
        <v>260</v>
      </c>
      <c r="D8" s="79" t="s">
        <v>25</v>
      </c>
      <c r="E8" s="90">
        <f>IF(C8="","",VLOOKUP(C8,'Parkeernormen Auto'!$A$2:$P$130,B8,FALSE))</f>
        <v>1.2</v>
      </c>
      <c r="F8" s="90">
        <f>IF(C8="","",IF(F7="","",VLOOKUP(C8,'Parkeernormen Auto'!$A$2:$P$130,B8+1,FALSE)))</f>
        <v>0.2</v>
      </c>
      <c r="G8" s="73" t="str">
        <f>IF(C8="","",VLOOKUP(C8,'Parkeernormen Auto'!$A$2:$B$130,2,FALSE))</f>
        <v>Per woning</v>
      </c>
      <c r="H8" s="68" t="s">
        <v>20</v>
      </c>
      <c r="I8" s="90">
        <f>IF(C8="","",IF(VLOOKUP(H8,'Parkeernormen Auto'!$AF$2:$AG$12,2,)&gt;E8,E8,VLOOKUP(H8,'Parkeernormen Auto'!$AF$2:$AG$12,2,)))</f>
        <v>0</v>
      </c>
      <c r="J8" s="90">
        <f t="shared" si="0"/>
        <v>1.2</v>
      </c>
      <c r="K8" s="90">
        <f t="shared" si="1"/>
        <v>0.2</v>
      </c>
      <c r="L8" s="69"/>
      <c r="M8" s="90">
        <f>IF(C8="","",IF(OR(C8='Parkeernormen Auto'!$A$118,C8='Parkeernormen Auto'!$A$119,C8='Parkeernormen Auto'!$A$120,C8='Parkeernormen Auto'!$A$121,C8='Parkeernormen Auto'!$A$122,C8='Parkeernormen Auto'!$A$123,C8='Parkeernormen Auto'!$A$124,C8='Parkeernormen Auto'!$A$125),VLOOKUP($E$1,'Rekentool KDV &amp; BSO Basisschool'!$O$3:$AK$14,IF(C8='Parkeernormen Auto'!$A$118,'Rekentool KDV &amp; BSO Basisschool'!$S$2,IF(C8='Parkeernormen Auto'!$A$119,'Rekentool KDV &amp; BSO Basisschool'!$Y$2,IF(C8='Parkeernormen Auto'!$A$120,'Rekentool KDV &amp; BSO Basisschool'!$AD$2,IF(C8='Parkeernormen Auto'!$A$121,'Rekentool KDV &amp; BSO Basisschool'!$AI$2,IF(C8='Parkeernormen Auto'!$A$122,'Rekentool KDV &amp; BSO Basisschool'!$T$2,IF(C8='Parkeernormen Auto'!$A$123,'Rekentool KDV &amp; BSO Basisschool'!$Z$2,IF(C8='Parkeernormen Auto'!$A$124,'Rekentool KDV &amp; BSO Basisschool'!$AE$2,IF(C8='Parkeernormen Auto'!$A$125,'Rekentool KDV &amp; BSO Basisschool'!$AJ$2,"")))))))),FALSE),L8*J8))</f>
        <v>0</v>
      </c>
      <c r="N8" s="90">
        <f t="shared" si="3"/>
        <v>0</v>
      </c>
      <c r="O8" s="143"/>
      <c r="P8" s="88"/>
      <c r="Q8" s="72" t="str">
        <f t="shared" si="2"/>
        <v>Veld 2 - Rijwoning Betaalbaar - Koop</v>
      </c>
      <c r="R8" s="90">
        <f>IF($C8="","",IF($N8="",IF(VLOOKUP($C8,'Parkeernormen Auto'!$A$2:$Z$130,'Parkeernormen Auto'!S$19,FALSE)="-","-",$M8*VLOOKUP($C8,'Parkeernormen Auto'!$A$2:$Z$130,'Parkeernormen Auto'!S$19,FALSE)),($M8)+($N8*'Parkeernormen Auto'!S$3)))</f>
        <v>0</v>
      </c>
      <c r="S8" s="90">
        <f>IF($C8="","",IF($N8="",IF(VLOOKUP($C8,'Parkeernormen Auto'!$A$2:$Z$130,'Parkeernormen Auto'!T$19,FALSE)="-","-",$M8*VLOOKUP($C8,'Parkeernormen Auto'!$A$2:$Z$130,'Parkeernormen Auto'!T$19,FALSE)),($M8)+($N8*'Parkeernormen Auto'!T$3)))</f>
        <v>0</v>
      </c>
      <c r="T8" s="90">
        <f>IF($C8="","",IF($N8="",IF(VLOOKUP($C8,'Parkeernormen Auto'!$A$2:$Z$130,'Parkeernormen Auto'!U$19,FALSE)="-","-",$M8*VLOOKUP($C8,'Parkeernormen Auto'!$A$2:$Z$130,'Parkeernormen Auto'!U$19,FALSE)),($M8)+($N8*'Parkeernormen Auto'!U$3)))</f>
        <v>0</v>
      </c>
      <c r="U8" s="90">
        <f>IF($C8="","",IF($N8="",IF(VLOOKUP($C8,'Parkeernormen Auto'!$A$2:$Z$130,'Parkeernormen Auto'!V$19,FALSE)="-","-",$M8*VLOOKUP($C8,'Parkeernormen Auto'!$A$2:$Z$130,'Parkeernormen Auto'!V$19,FALSE)),($M8)+($N8*'Parkeernormen Auto'!V$3)))</f>
        <v>0</v>
      </c>
      <c r="V8" s="90">
        <f>IF($C8="","",IF($N8="",IF(VLOOKUP($C8,'Parkeernormen Auto'!$A$2:$Z$130,'Parkeernormen Auto'!W$19,FALSE)="-","-",$M8*VLOOKUP($C8,'Parkeernormen Auto'!$A$2:$Z$130,'Parkeernormen Auto'!W$19,FALSE)),($M8)+($N8*'Parkeernormen Auto'!W$3)))</f>
        <v>0</v>
      </c>
      <c r="W8" s="90">
        <f>IF($C8="","",IF($N8="",IF(VLOOKUP($C8,'Parkeernormen Auto'!$A$2:$Z$130,'Parkeernormen Auto'!X$19,FALSE)="-","-",$M8*VLOOKUP($C8,'Parkeernormen Auto'!$A$2:$Z$130,'Parkeernormen Auto'!X$19,FALSE)),($M8)+($N8*'Parkeernormen Auto'!X$3)))</f>
        <v>0</v>
      </c>
      <c r="X8" s="90">
        <f>IF($C8="","",IF($N8="",IF(VLOOKUP($C8,'Parkeernormen Auto'!$A$2:$Z$130,'Parkeernormen Auto'!Y$19,FALSE)="-","-",$M8*VLOOKUP($C8,'Parkeernormen Auto'!$A$2:$Z$130,'Parkeernormen Auto'!Y$19,FALSE)),($M8)+($N8*'Parkeernormen Auto'!Y$3)))</f>
        <v>0</v>
      </c>
      <c r="Y8" s="91">
        <f>IF($C8="","",IF($N8="",IF(VLOOKUP($C8,'Parkeernormen Auto'!$A$2:$Z$130,'Parkeernormen Auto'!Z$19,FALSE)="-","-",$M8*VLOOKUP($C8,'Parkeernormen Auto'!$A$2:$Z$130,'Parkeernormen Auto'!Z$19,FALSE)),($M8)+($N8*'Parkeernormen Auto'!Z$3)))</f>
        <v>0</v>
      </c>
      <c r="Z8" s="89"/>
      <c r="AA8" s="67"/>
      <c r="AB8" s="64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</row>
    <row r="9" spans="1:44" x14ac:dyDescent="0.5">
      <c r="A9" s="72" t="s">
        <v>18</v>
      </c>
      <c r="B9" s="73">
        <f>VLOOKUP(A9,'Parkeernormen Auto'!$AB$2:$AD$12,2,FALSE)</f>
        <v>7</v>
      </c>
      <c r="C9" s="73" t="s">
        <v>266</v>
      </c>
      <c r="D9" s="80" t="s">
        <v>26</v>
      </c>
      <c r="E9" s="90">
        <f>IF(C9="","",VLOOKUP(C9,'Parkeernormen Auto'!$A$2:$P$130,B9,FALSE))</f>
        <v>0.90000000000000013</v>
      </c>
      <c r="F9" s="90">
        <f>IF(C9="","",IF(F8="","",VLOOKUP(C9,'Parkeernormen Auto'!$A$2:$P$130,B9+1,FALSE)))</f>
        <v>0.2</v>
      </c>
      <c r="G9" s="73" t="str">
        <f>IF(C9="","",VLOOKUP(C9,'Parkeernormen Auto'!$A$2:$B$130,2,FALSE))</f>
        <v>Per woning</v>
      </c>
      <c r="H9" s="68" t="s">
        <v>20</v>
      </c>
      <c r="I9" s="90">
        <f>IF(C9="","",IF(VLOOKUP(H9,'Parkeernormen Auto'!$AF$2:$AG$12,2,)&gt;E9,E9,VLOOKUP(H9,'Parkeernormen Auto'!$AF$2:$AG$12,2,)))</f>
        <v>0</v>
      </c>
      <c r="J9" s="90">
        <f t="shared" si="0"/>
        <v>0.90000000000000013</v>
      </c>
      <c r="K9" s="90">
        <f t="shared" si="1"/>
        <v>0.2</v>
      </c>
      <c r="L9" s="69"/>
      <c r="M9" s="90">
        <f>IF(C9="","",IF(OR(C9='Parkeernormen Auto'!$A$118,C9='Parkeernormen Auto'!$A$119,C9='Parkeernormen Auto'!$A$120,C9='Parkeernormen Auto'!$A$121,C9='Parkeernormen Auto'!$A$122,C9='Parkeernormen Auto'!$A$123,C9='Parkeernormen Auto'!$A$124,C9='Parkeernormen Auto'!$A$125),VLOOKUP($E$1,'Rekentool KDV &amp; BSO Basisschool'!$O$3:$AK$14,IF(C9='Parkeernormen Auto'!$A$118,'Rekentool KDV &amp; BSO Basisschool'!$S$2,IF(C9='Parkeernormen Auto'!$A$119,'Rekentool KDV &amp; BSO Basisschool'!$Y$2,IF(C9='Parkeernormen Auto'!$A$120,'Rekentool KDV &amp; BSO Basisschool'!$AD$2,IF(C9='Parkeernormen Auto'!$A$121,'Rekentool KDV &amp; BSO Basisschool'!$AI$2,IF(C9='Parkeernormen Auto'!$A$122,'Rekentool KDV &amp; BSO Basisschool'!$T$2,IF(C9='Parkeernormen Auto'!$A$123,'Rekentool KDV &amp; BSO Basisschool'!$Z$2,IF(C9='Parkeernormen Auto'!$A$124,'Rekentool KDV &amp; BSO Basisschool'!$AE$2,IF(C9='Parkeernormen Auto'!$A$125,'Rekentool KDV &amp; BSO Basisschool'!$AJ$2,"")))))))),FALSE),L9*J9))</f>
        <v>0</v>
      </c>
      <c r="N9" s="90">
        <f t="shared" si="3"/>
        <v>0</v>
      </c>
      <c r="O9" s="143"/>
      <c r="P9" s="88"/>
      <c r="Q9" s="72" t="str">
        <f t="shared" si="2"/>
        <v>Veld 2 - Rijwoning Midden - Huur</v>
      </c>
      <c r="R9" s="90">
        <f>IF($C9="","",IF($N9="",IF(VLOOKUP($C9,'Parkeernormen Auto'!$A$2:$Z$130,'Parkeernormen Auto'!S$19,FALSE)="-","-",$M9*VLOOKUP($C9,'Parkeernormen Auto'!$A$2:$Z$130,'Parkeernormen Auto'!S$19,FALSE)),($M9)+($N9*'Parkeernormen Auto'!S$3)))</f>
        <v>0</v>
      </c>
      <c r="S9" s="90">
        <f>IF($C9="","",IF($N9="",IF(VLOOKUP($C9,'Parkeernormen Auto'!$A$2:$Z$130,'Parkeernormen Auto'!T$19,FALSE)="-","-",$M9*VLOOKUP($C9,'Parkeernormen Auto'!$A$2:$Z$130,'Parkeernormen Auto'!T$19,FALSE)),($M9)+($N9*'Parkeernormen Auto'!T$3)))</f>
        <v>0</v>
      </c>
      <c r="T9" s="90">
        <f>IF($C9="","",IF($N9="",IF(VLOOKUP($C9,'Parkeernormen Auto'!$A$2:$Z$130,'Parkeernormen Auto'!U$19,FALSE)="-","-",$M9*VLOOKUP($C9,'Parkeernormen Auto'!$A$2:$Z$130,'Parkeernormen Auto'!U$19,FALSE)),($M9)+($N9*'Parkeernormen Auto'!U$3)))</f>
        <v>0</v>
      </c>
      <c r="U9" s="90">
        <f>IF($C9="","",IF($N9="",IF(VLOOKUP($C9,'Parkeernormen Auto'!$A$2:$Z$130,'Parkeernormen Auto'!V$19,FALSE)="-","-",$M9*VLOOKUP($C9,'Parkeernormen Auto'!$A$2:$Z$130,'Parkeernormen Auto'!V$19,FALSE)),($M9)+($N9*'Parkeernormen Auto'!V$3)))</f>
        <v>0</v>
      </c>
      <c r="V9" s="90">
        <f>IF($C9="","",IF($N9="",IF(VLOOKUP($C9,'Parkeernormen Auto'!$A$2:$Z$130,'Parkeernormen Auto'!W$19,FALSE)="-","-",$M9*VLOOKUP($C9,'Parkeernormen Auto'!$A$2:$Z$130,'Parkeernormen Auto'!W$19,FALSE)),($M9)+($N9*'Parkeernormen Auto'!W$3)))</f>
        <v>0</v>
      </c>
      <c r="W9" s="90">
        <f>IF($C9="","",IF($N9="",IF(VLOOKUP($C9,'Parkeernormen Auto'!$A$2:$Z$130,'Parkeernormen Auto'!X$19,FALSE)="-","-",$M9*VLOOKUP($C9,'Parkeernormen Auto'!$A$2:$Z$130,'Parkeernormen Auto'!X$19,FALSE)),($M9)+($N9*'Parkeernormen Auto'!X$3)))</f>
        <v>0</v>
      </c>
      <c r="X9" s="90">
        <f>IF($C9="","",IF($N9="",IF(VLOOKUP($C9,'Parkeernormen Auto'!$A$2:$Z$130,'Parkeernormen Auto'!Y$19,FALSE)="-","-",$M9*VLOOKUP($C9,'Parkeernormen Auto'!$A$2:$Z$130,'Parkeernormen Auto'!Y$19,FALSE)),($M9)+($N9*'Parkeernormen Auto'!Y$3)))</f>
        <v>0</v>
      </c>
      <c r="Y9" s="91">
        <f>IF($C9="","",IF($N9="",IF(VLOOKUP($C9,'Parkeernormen Auto'!$A$2:$Z$130,'Parkeernormen Auto'!Z$19,FALSE)="-","-",$M9*VLOOKUP($C9,'Parkeernormen Auto'!$A$2:$Z$130,'Parkeernormen Auto'!Z$19,FALSE)),($M9)+($N9*'Parkeernormen Auto'!Z$3)))</f>
        <v>0</v>
      </c>
      <c r="Z9" s="109"/>
      <c r="AA9" s="67"/>
      <c r="AB9" s="64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</row>
    <row r="10" spans="1:44" x14ac:dyDescent="0.5">
      <c r="A10" s="72" t="s">
        <v>18</v>
      </c>
      <c r="B10" s="73">
        <f>VLOOKUP(A10,'Parkeernormen Auto'!$AB$2:$AD$12,2,FALSE)</f>
        <v>7</v>
      </c>
      <c r="C10" s="73" t="s">
        <v>266</v>
      </c>
      <c r="D10" s="81" t="s">
        <v>27</v>
      </c>
      <c r="E10" s="90">
        <f>IF(C10="","",VLOOKUP(C10,'Parkeernormen Auto'!$A$2:$P$130,B10,FALSE))</f>
        <v>0.90000000000000013</v>
      </c>
      <c r="F10" s="90">
        <f>IF(C10="","",IF(F9="","",VLOOKUP(C10,'Parkeernormen Auto'!$A$2:$P$130,B10+1,FALSE)))</f>
        <v>0.2</v>
      </c>
      <c r="G10" s="73" t="str">
        <f>IF(C10="","",VLOOKUP(C10,'Parkeernormen Auto'!$A$2:$B$130,2,FALSE))</f>
        <v>Per woning</v>
      </c>
      <c r="H10" s="68" t="s">
        <v>20</v>
      </c>
      <c r="I10" s="90">
        <f>IF(C10="","",IF(VLOOKUP(H10,'Parkeernormen Auto'!$AF$2:$AG$12,2,)&gt;E10,E10,VLOOKUP(H10,'Parkeernormen Auto'!$AF$2:$AG$12,2,)))</f>
        <v>0</v>
      </c>
      <c r="J10" s="90">
        <f t="shared" si="0"/>
        <v>0.90000000000000013</v>
      </c>
      <c r="K10" s="90">
        <f t="shared" si="1"/>
        <v>0.2</v>
      </c>
      <c r="L10" s="69"/>
      <c r="M10" s="90">
        <f>IF(C10="","",IF(OR(C10='Parkeernormen Auto'!$A$118,C10='Parkeernormen Auto'!$A$119,C10='Parkeernormen Auto'!$A$120,C10='Parkeernormen Auto'!$A$121,C10='Parkeernormen Auto'!$A$122,C10='Parkeernormen Auto'!$A$123,C10='Parkeernormen Auto'!$A$124,C10='Parkeernormen Auto'!$A$125),VLOOKUP($E$1,'Rekentool KDV &amp; BSO Basisschool'!$O$3:$AK$14,IF(C10='Parkeernormen Auto'!$A$118,'Rekentool KDV &amp; BSO Basisschool'!$S$2,IF(C10='Parkeernormen Auto'!$A$119,'Rekentool KDV &amp; BSO Basisschool'!$Y$2,IF(C10='Parkeernormen Auto'!$A$120,'Rekentool KDV &amp; BSO Basisschool'!$AD$2,IF(C10='Parkeernormen Auto'!$A$121,'Rekentool KDV &amp; BSO Basisschool'!$AI$2,IF(C10='Parkeernormen Auto'!$A$122,'Rekentool KDV &amp; BSO Basisschool'!$T$2,IF(C10='Parkeernormen Auto'!$A$123,'Rekentool KDV &amp; BSO Basisschool'!$Z$2,IF(C10='Parkeernormen Auto'!$A$124,'Rekentool KDV &amp; BSO Basisschool'!$AE$2,IF(C10='Parkeernormen Auto'!$A$125,'Rekentool KDV &amp; BSO Basisschool'!$AJ$2,"")))))))),FALSE),L10*J10))</f>
        <v>0</v>
      </c>
      <c r="N10" s="90">
        <f t="shared" si="3"/>
        <v>0</v>
      </c>
      <c r="O10" s="143"/>
      <c r="P10" s="88"/>
      <c r="Q10" s="72" t="str">
        <f t="shared" si="2"/>
        <v>Veld 2 - Rijwoning Sociaal - Huur</v>
      </c>
      <c r="R10" s="90">
        <f>IF($C10="","",IF($N10="",IF(VLOOKUP($C10,'Parkeernormen Auto'!$A$2:$Z$130,'Parkeernormen Auto'!S$19,FALSE)="-","-",$M10*VLOOKUP($C10,'Parkeernormen Auto'!$A$2:$Z$130,'Parkeernormen Auto'!S$19,FALSE)),($M10)+($N10*'Parkeernormen Auto'!S$3)))</f>
        <v>0</v>
      </c>
      <c r="S10" s="90">
        <f>IF($C10="","",IF($N10="",IF(VLOOKUP($C10,'Parkeernormen Auto'!$A$2:$Z$130,'Parkeernormen Auto'!T$19,FALSE)="-","-",$M10*VLOOKUP($C10,'Parkeernormen Auto'!$A$2:$Z$130,'Parkeernormen Auto'!T$19,FALSE)),($M10)+($N10*'Parkeernormen Auto'!T$3)))</f>
        <v>0</v>
      </c>
      <c r="T10" s="90">
        <f>IF($C10="","",IF($N10="",IF(VLOOKUP($C10,'Parkeernormen Auto'!$A$2:$Z$130,'Parkeernormen Auto'!U$19,FALSE)="-","-",$M10*VLOOKUP($C10,'Parkeernormen Auto'!$A$2:$Z$130,'Parkeernormen Auto'!U$19,FALSE)),($M10)+($N10*'Parkeernormen Auto'!U$3)))</f>
        <v>0</v>
      </c>
      <c r="U10" s="90">
        <f>IF($C10="","",IF($N10="",IF(VLOOKUP($C10,'Parkeernormen Auto'!$A$2:$Z$130,'Parkeernormen Auto'!V$19,FALSE)="-","-",$M10*VLOOKUP($C10,'Parkeernormen Auto'!$A$2:$Z$130,'Parkeernormen Auto'!V$19,FALSE)),($M10)+($N10*'Parkeernormen Auto'!V$3)))</f>
        <v>0</v>
      </c>
      <c r="V10" s="90">
        <f>IF($C10="","",IF($N10="",IF(VLOOKUP($C10,'Parkeernormen Auto'!$A$2:$Z$130,'Parkeernormen Auto'!W$19,FALSE)="-","-",$M10*VLOOKUP($C10,'Parkeernormen Auto'!$A$2:$Z$130,'Parkeernormen Auto'!W$19,FALSE)),($M10)+($N10*'Parkeernormen Auto'!W$3)))</f>
        <v>0</v>
      </c>
      <c r="W10" s="90">
        <f>IF($C10="","",IF($N10="",IF(VLOOKUP($C10,'Parkeernormen Auto'!$A$2:$Z$130,'Parkeernormen Auto'!X$19,FALSE)="-","-",$M10*VLOOKUP($C10,'Parkeernormen Auto'!$A$2:$Z$130,'Parkeernormen Auto'!X$19,FALSE)),($M10)+($N10*'Parkeernormen Auto'!X$3)))</f>
        <v>0</v>
      </c>
      <c r="X10" s="90">
        <f>IF($C10="","",IF($N10="",IF(VLOOKUP($C10,'Parkeernormen Auto'!$A$2:$Z$130,'Parkeernormen Auto'!Y$19,FALSE)="-","-",$M10*VLOOKUP($C10,'Parkeernormen Auto'!$A$2:$Z$130,'Parkeernormen Auto'!Y$19,FALSE)),($M10)+($N10*'Parkeernormen Auto'!Y$3)))</f>
        <v>0</v>
      </c>
      <c r="Y10" s="91">
        <f>IF($C10="","",IF($N10="",IF(VLOOKUP($C10,'Parkeernormen Auto'!$A$2:$Z$130,'Parkeernormen Auto'!Z$19,FALSE)="-","-",$M10*VLOOKUP($C10,'Parkeernormen Auto'!$A$2:$Z$130,'Parkeernormen Auto'!Z$19,FALSE)),($M10)+($N10*'Parkeernormen Auto'!Z$3)))</f>
        <v>0</v>
      </c>
      <c r="Z10" s="89"/>
      <c r="AA10" s="67"/>
      <c r="AB10" s="64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</row>
    <row r="11" spans="1:44" x14ac:dyDescent="0.5">
      <c r="A11" s="72" t="s">
        <v>18</v>
      </c>
      <c r="B11" s="73">
        <f>VLOOKUP(A11,'Parkeernormen Auto'!$AB$2:$AD$12,2,FALSE)</f>
        <v>7</v>
      </c>
      <c r="C11" s="73" t="s">
        <v>269</v>
      </c>
      <c r="D11" s="74" t="s">
        <v>28</v>
      </c>
      <c r="E11" s="144">
        <f>IF(C11="","",VLOOKUP(C11,'Parkeernormen Auto'!$A$2:$P$130,B11,FALSE))</f>
        <v>0.8</v>
      </c>
      <c r="F11" s="144">
        <f>IF(C11="","",IF(F10="","",VLOOKUP(C11,'Parkeernormen Auto'!$A$2:$P$130,B11+1,FALSE)))</f>
        <v>0.2</v>
      </c>
      <c r="G11" s="145" t="str">
        <f>IF(C11="","",VLOOKUP(C11,'Parkeernormen Auto'!$A$2:$B$130,2,FALSE))</f>
        <v>Per woning</v>
      </c>
      <c r="H11" s="146" t="s">
        <v>20</v>
      </c>
      <c r="I11" s="144">
        <f>IF(C11="","",IF(VLOOKUP(H11,'Parkeernormen Auto'!$AF$2:$AG$12,2,)&gt;E11,E11,VLOOKUP(H11,'Parkeernormen Auto'!$AF$2:$AG$12,2,)))</f>
        <v>0</v>
      </c>
      <c r="J11" s="144">
        <f t="shared" si="0"/>
        <v>0.8</v>
      </c>
      <c r="K11" s="144">
        <f t="shared" si="1"/>
        <v>0.2</v>
      </c>
      <c r="L11" s="139">
        <f>31+53</f>
        <v>84</v>
      </c>
      <c r="M11" s="144">
        <f>IF(C11="","",IF(OR(C11='Parkeernormen Auto'!$A$118,C11='Parkeernormen Auto'!$A$119,C11='Parkeernormen Auto'!$A$120,C11='Parkeernormen Auto'!$A$121,C11='Parkeernormen Auto'!$A$122,C11='Parkeernormen Auto'!$A$123,C11='Parkeernormen Auto'!$A$124,C11='Parkeernormen Auto'!$A$125),VLOOKUP($E$1,'Rekentool KDV &amp; BSO Basisschool'!$O$3:$AK$14,IF(C11='Parkeernormen Auto'!$A$118,'Rekentool KDV &amp; BSO Basisschool'!$S$2,IF(C11='Parkeernormen Auto'!$A$119,'Rekentool KDV &amp; BSO Basisschool'!$Y$2,IF(C11='Parkeernormen Auto'!$A$120,'Rekentool KDV &amp; BSO Basisschool'!$AD$2,IF(C11='Parkeernormen Auto'!$A$121,'Rekentool KDV &amp; BSO Basisschool'!$AI$2,IF(C11='Parkeernormen Auto'!$A$122,'Rekentool KDV &amp; BSO Basisschool'!$T$2,IF(C11='Parkeernormen Auto'!$A$123,'Rekentool KDV &amp; BSO Basisschool'!$Z$2,IF(C11='Parkeernormen Auto'!$A$124,'Rekentool KDV &amp; BSO Basisschool'!$AE$2,IF(C11='Parkeernormen Auto'!$A$125,'Rekentool KDV &amp; BSO Basisschool'!$AJ$2,"")))))))),FALSE),L11*J11))</f>
        <v>67.2</v>
      </c>
      <c r="N11" s="144">
        <f t="shared" si="3"/>
        <v>16.8</v>
      </c>
      <c r="O11" s="143"/>
      <c r="P11" s="102"/>
      <c r="Q11" s="72" t="str">
        <f t="shared" si="2"/>
        <v>Veld 2 - Appartementen Midden - Huur</v>
      </c>
      <c r="R11" s="144">
        <f>IF($C11="","",IF($N11="",IF(VLOOKUP($C11,'Parkeernormen Auto'!$A$2:$Z$130,'Parkeernormen Auto'!S$19,FALSE)="-","-",$M11*VLOOKUP($C11,'Parkeernormen Auto'!$A$2:$Z$130,'Parkeernormen Auto'!S$19,FALSE)),($M11)+($N11*'Parkeernormen Auto'!S$3)))</f>
        <v>68.88000000000001</v>
      </c>
      <c r="S11" s="144">
        <f>IF($C11="","",IF($N11="",IF(VLOOKUP($C11,'Parkeernormen Auto'!$A$2:$Z$130,'Parkeernormen Auto'!T$19,FALSE)="-","-",$M11*VLOOKUP($C11,'Parkeernormen Auto'!$A$2:$Z$130,'Parkeernormen Auto'!T$19,FALSE)),($M11)+($N11*'Parkeernormen Auto'!T$3)))</f>
        <v>70.56</v>
      </c>
      <c r="T11" s="144">
        <f>IF($C11="","",IF($N11="",IF(VLOOKUP($C11,'Parkeernormen Auto'!$A$2:$Z$130,'Parkeernormen Auto'!U$19,FALSE)="-","-",$M11*VLOOKUP($C11,'Parkeernormen Auto'!$A$2:$Z$130,'Parkeernormen Auto'!U$19,FALSE)),($M11)+($N11*'Parkeernormen Auto'!U$3)))</f>
        <v>80.64</v>
      </c>
      <c r="U11" s="144">
        <f>IF($C11="","",IF($N11="",IF(VLOOKUP($C11,'Parkeernormen Auto'!$A$2:$Z$130,'Parkeernormen Auto'!V$19,FALSE)="-","-",$M11*VLOOKUP($C11,'Parkeernormen Auto'!$A$2:$Z$130,'Parkeernormen Auto'!V$19,FALSE)),($M11)+($N11*'Parkeernormen Auto'!V$3)))</f>
        <v>67.2</v>
      </c>
      <c r="V11" s="144">
        <f>IF($C11="","",IF($N11="",IF(VLOOKUP($C11,'Parkeernormen Auto'!$A$2:$Z$130,'Parkeernormen Auto'!W$19,FALSE)="-","-",$M11*VLOOKUP($C11,'Parkeernormen Auto'!$A$2:$Z$130,'Parkeernormen Auto'!W$19,FALSE)),($M11)+($N11*'Parkeernormen Auto'!W$3)))</f>
        <v>78.960000000000008</v>
      </c>
      <c r="W11" s="144">
        <f>IF($C11="","",IF($N11="",IF(VLOOKUP($C11,'Parkeernormen Auto'!$A$2:$Z$130,'Parkeernormen Auto'!X$19,FALSE)="-","-",$M11*VLOOKUP($C11,'Parkeernormen Auto'!$A$2:$Z$130,'Parkeernormen Auto'!X$19,FALSE)),($M11)+($N11*'Parkeernormen Auto'!X$3)))</f>
        <v>77.28</v>
      </c>
      <c r="X11" s="144">
        <f>IF($C11="","",IF($N11="",IF(VLOOKUP($C11,'Parkeernormen Auto'!$A$2:$Z$130,'Parkeernormen Auto'!Y$19,FALSE)="-","-",$M11*VLOOKUP($C11,'Parkeernormen Auto'!$A$2:$Z$130,'Parkeernormen Auto'!Y$19,FALSE)),($M11)+($N11*'Parkeernormen Auto'!Y$3)))</f>
        <v>84</v>
      </c>
      <c r="Y11" s="153">
        <f>IF($C11="","",IF($N11="",IF(VLOOKUP($C11,'Parkeernormen Auto'!$A$2:$Z$130,'Parkeernormen Auto'!Z$19,FALSE)="-","-",$M11*VLOOKUP($C11,'Parkeernormen Auto'!$A$2:$Z$130,'Parkeernormen Auto'!Z$19,FALSE)),($M11)+($N11*'Parkeernormen Auto'!Z$3)))</f>
        <v>78.960000000000008</v>
      </c>
      <c r="Z11" s="89"/>
      <c r="AA11" s="67"/>
      <c r="AB11" s="64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</row>
    <row r="12" spans="1:44" x14ac:dyDescent="0.5">
      <c r="A12" s="72" t="s">
        <v>18</v>
      </c>
      <c r="B12" s="73">
        <f>VLOOKUP(A12,'Parkeernormen Auto'!$AB$2:$AD$12,2,FALSE)</f>
        <v>7</v>
      </c>
      <c r="C12" s="73" t="s">
        <v>269</v>
      </c>
      <c r="D12" s="75" t="s">
        <v>29</v>
      </c>
      <c r="E12" s="144"/>
      <c r="F12" s="144"/>
      <c r="G12" s="145"/>
      <c r="H12" s="146"/>
      <c r="I12" s="144"/>
      <c r="J12" s="144"/>
      <c r="K12" s="144"/>
      <c r="L12" s="139"/>
      <c r="M12" s="144"/>
      <c r="N12" s="144"/>
      <c r="O12" s="143"/>
      <c r="P12" s="103"/>
      <c r="Q12" s="72" t="str">
        <f t="shared" si="2"/>
        <v>Veld 2 - Appartementen Sociaal - Huur</v>
      </c>
      <c r="R12" s="144"/>
      <c r="S12" s="144">
        <f>IF($C12="","",IF($N12="",IF(VLOOKUP($C12,'Parkeernormen Auto'!$A$2:$Z$130,'Parkeernormen Auto'!T$19,FALSE)="-","-",$M12*VLOOKUP($C12,'Parkeernormen Auto'!$A$2:$Z$130,'Parkeernormen Auto'!T$19,FALSE)),($M12)+($N12*'Parkeernormen Auto'!T$3)))</f>
        <v>0</v>
      </c>
      <c r="T12" s="144">
        <f>IF($C12="","",IF($N12="",IF(VLOOKUP($C12,'Parkeernormen Auto'!$A$2:$Z$130,'Parkeernormen Auto'!U$19,FALSE)="-","-",$M12*VLOOKUP($C12,'Parkeernormen Auto'!$A$2:$Z$130,'Parkeernormen Auto'!U$19,FALSE)),($M12)+($N12*'Parkeernormen Auto'!U$3)))</f>
        <v>0</v>
      </c>
      <c r="U12" s="144">
        <f>IF($C12="","",IF($N12="",IF(VLOOKUP($C12,'Parkeernormen Auto'!$A$2:$Z$130,'Parkeernormen Auto'!V$19,FALSE)="-","-",$M12*VLOOKUP($C12,'Parkeernormen Auto'!$A$2:$Z$130,'Parkeernormen Auto'!V$19,FALSE)),($M12)+($N12*'Parkeernormen Auto'!V$3)))</f>
        <v>0</v>
      </c>
      <c r="V12" s="144">
        <f>IF($C12="","",IF($N12="",IF(VLOOKUP($C12,'Parkeernormen Auto'!$A$2:$Z$130,'Parkeernormen Auto'!W$19,FALSE)="-","-",$M12*VLOOKUP($C12,'Parkeernormen Auto'!$A$2:$Z$130,'Parkeernormen Auto'!W$19,FALSE)),($M12)+($N12*'Parkeernormen Auto'!W$3)))</f>
        <v>0</v>
      </c>
      <c r="W12" s="144">
        <f>IF($C12="","",IF($N12="",IF(VLOOKUP($C12,'Parkeernormen Auto'!$A$2:$Z$130,'Parkeernormen Auto'!X$19,FALSE)="-","-",$M12*VLOOKUP($C12,'Parkeernormen Auto'!$A$2:$Z$130,'Parkeernormen Auto'!X$19,FALSE)),($M12)+($N12*'Parkeernormen Auto'!X$3)))</f>
        <v>0</v>
      </c>
      <c r="X12" s="144">
        <f>IF($C12="","",IF($N12="",IF(VLOOKUP($C12,'Parkeernormen Auto'!$A$2:$Z$130,'Parkeernormen Auto'!Y$19,FALSE)="-","-",$M12*VLOOKUP($C12,'Parkeernormen Auto'!$A$2:$Z$130,'Parkeernormen Auto'!Y$19,FALSE)),($M12)+($N12*'Parkeernormen Auto'!Y$3)))</f>
        <v>0</v>
      </c>
      <c r="Y12" s="153">
        <f>IF($C12="","",IF($N12="",IF(VLOOKUP($C12,'Parkeernormen Auto'!$A$2:$Z$130,'Parkeernormen Auto'!Z$19,FALSE)="-","-",$M12*VLOOKUP($C12,'Parkeernormen Auto'!$A$2:$Z$130,'Parkeernormen Auto'!Z$19,FALSE)),($M12)+($N12*'Parkeernormen Auto'!Z$3)))</f>
        <v>0</v>
      </c>
      <c r="Z12" s="109"/>
      <c r="AA12" s="67"/>
      <c r="AB12" s="64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</row>
    <row r="13" spans="1:44" x14ac:dyDescent="0.5">
      <c r="A13" s="72"/>
      <c r="B13" s="73"/>
      <c r="C13" s="76"/>
      <c r="D13" s="76"/>
      <c r="E13" s="90"/>
      <c r="F13" s="90"/>
      <c r="G13" s="73"/>
      <c r="H13" s="76"/>
      <c r="I13" s="90"/>
      <c r="J13" s="90"/>
      <c r="K13" s="90"/>
      <c r="L13" s="76"/>
      <c r="M13" s="90"/>
      <c r="N13" s="90"/>
      <c r="O13" s="100"/>
      <c r="P13" s="76"/>
      <c r="Q13" s="72"/>
      <c r="R13" s="90"/>
      <c r="S13" s="90"/>
      <c r="T13" s="90"/>
      <c r="U13" s="90"/>
      <c r="V13" s="90"/>
      <c r="W13" s="90"/>
      <c r="X13" s="90"/>
      <c r="Y13" s="91"/>
      <c r="Z13" s="109"/>
      <c r="AA13" s="67"/>
      <c r="AB13" s="64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</row>
    <row r="14" spans="1:44" x14ac:dyDescent="0.5">
      <c r="A14" s="72" t="s">
        <v>18</v>
      </c>
      <c r="B14" s="73">
        <f>VLOOKUP(A14,'Parkeernormen Auto'!$AB$2:$AD$12,2,FALSE)</f>
        <v>7</v>
      </c>
      <c r="C14" s="73" t="s">
        <v>258</v>
      </c>
      <c r="D14" s="77" t="s">
        <v>30</v>
      </c>
      <c r="E14" s="90">
        <f>IF(C14="","",VLOOKUP(C14,'Parkeernormen Auto'!$A$2:$P$130,B14,FALSE))</f>
        <v>1.7</v>
      </c>
      <c r="F14" s="90">
        <f>IF(C14="","",IF(F11="","",VLOOKUP(C14,'Parkeernormen Auto'!$A$2:$P$130,B14+1,FALSE)))</f>
        <v>0.2</v>
      </c>
      <c r="G14" s="73" t="str">
        <f>IF(C14="","",VLOOKUP(C14,'Parkeernormen Auto'!$A$2:$B$130,2,FALSE))</f>
        <v>Per woning</v>
      </c>
      <c r="H14" s="68" t="s">
        <v>20</v>
      </c>
      <c r="I14" s="90">
        <f>IF(C14="","",IF(VLOOKUP(H14,'Parkeernormen Auto'!$AF$2:$AG$12,2,)&gt;E14,E14,VLOOKUP(H14,'Parkeernormen Auto'!$AF$2:$AG$12,2,)))</f>
        <v>0</v>
      </c>
      <c r="J14" s="90">
        <f t="shared" si="0"/>
        <v>1.7</v>
      </c>
      <c r="K14" s="90">
        <f t="shared" si="1"/>
        <v>0.2</v>
      </c>
      <c r="L14" s="69"/>
      <c r="M14" s="90">
        <f>IF(C14="","",IF(OR(C14='Parkeernormen Auto'!$A$118,C14='Parkeernormen Auto'!$A$119,C14='Parkeernormen Auto'!$A$120,C14='Parkeernormen Auto'!$A$121,C14='Parkeernormen Auto'!$A$122,C14='Parkeernormen Auto'!$A$123,C14='Parkeernormen Auto'!$A$124,C14='Parkeernormen Auto'!$A$125),VLOOKUP($E$1,'Rekentool KDV &amp; BSO Basisschool'!$O$3:$AK$14,IF(C14='Parkeernormen Auto'!$A$118,'Rekentool KDV &amp; BSO Basisschool'!$S$2,IF(C14='Parkeernormen Auto'!$A$119,'Rekentool KDV &amp; BSO Basisschool'!$Y$2,IF(C14='Parkeernormen Auto'!$A$120,'Rekentool KDV &amp; BSO Basisschool'!$AD$2,IF(C14='Parkeernormen Auto'!$A$121,'Rekentool KDV &amp; BSO Basisschool'!$AI$2,IF(C14='Parkeernormen Auto'!$A$122,'Rekentool KDV &amp; BSO Basisschool'!$T$2,IF(C14='Parkeernormen Auto'!$A$123,'Rekentool KDV &amp; BSO Basisschool'!$Z$2,IF(C14='Parkeernormen Auto'!$A$124,'Rekentool KDV &amp; BSO Basisschool'!$AE$2,IF(C14='Parkeernormen Auto'!$A$125,'Rekentool KDV &amp; BSO Basisschool'!$AJ$2,"")))))))),FALSE),L14*J14))</f>
        <v>0</v>
      </c>
      <c r="N14" s="90">
        <f t="shared" ref="N14:N19" si="4">IF(C14="","",IF(F14="","",L14*K14))</f>
        <v>0</v>
      </c>
      <c r="O14" s="142">
        <f>128-O24</f>
        <v>128</v>
      </c>
      <c r="P14" s="88"/>
      <c r="Q14" s="72" t="str">
        <f t="shared" si="2"/>
        <v>Veld 3 - Rijwoning Vrije Sector Midden - Koop</v>
      </c>
      <c r="R14" s="90">
        <f>IF($C14="","",IF($N14="",IF(VLOOKUP($C14,'Parkeernormen Auto'!$A$2:$Z$130,'Parkeernormen Auto'!S$19,FALSE)="-","-",$M14*VLOOKUP($C14,'Parkeernormen Auto'!$A$2:$Z$130,'Parkeernormen Auto'!S$19,FALSE)),($M14*'Parkeernormen Auto'!S$2)+($N14*'Parkeernormen Auto'!S$3)))</f>
        <v>0</v>
      </c>
      <c r="S14" s="90">
        <f>IF($C14="","",IF($N14="",IF(VLOOKUP($C14,'Parkeernormen Auto'!$A$2:$Z$130,'Parkeernormen Auto'!T$19,FALSE)="-","-",$M14*VLOOKUP($C14,'Parkeernormen Auto'!$A$2:$Z$130,'Parkeernormen Auto'!T$19,FALSE)),($M14*'Parkeernormen Auto'!T$2)+($N14*'Parkeernormen Auto'!T$3)))</f>
        <v>0</v>
      </c>
      <c r="T14" s="90">
        <f>IF($C14="","",IF($N14="",IF(VLOOKUP($C14,'Parkeernormen Auto'!$A$2:$Z$130,'Parkeernormen Auto'!U$19,FALSE)="-","-",$M14*VLOOKUP($C14,'Parkeernormen Auto'!$A$2:$Z$130,'Parkeernormen Auto'!U$19,FALSE)),($M14*'Parkeernormen Auto'!U$2)+($N14*'Parkeernormen Auto'!U$3)))</f>
        <v>0</v>
      </c>
      <c r="U14" s="90">
        <f>IF($C14="","",IF($N14="",IF(VLOOKUP($C14,'Parkeernormen Auto'!$A$2:$Z$130,'Parkeernormen Auto'!V$19,FALSE)="-","-",$M14*VLOOKUP($C14,'Parkeernormen Auto'!$A$2:$Z$130,'Parkeernormen Auto'!V$19,FALSE)),($M14*'Parkeernormen Auto'!V$2)+($N14*'Parkeernormen Auto'!V$3)))</f>
        <v>0</v>
      </c>
      <c r="V14" s="90">
        <f>IF($C14="","",IF($N14="",IF(VLOOKUP($C14,'Parkeernormen Auto'!$A$2:$Z$130,'Parkeernormen Auto'!W$19,FALSE)="-","-",$M14*VLOOKUP($C14,'Parkeernormen Auto'!$A$2:$Z$130,'Parkeernormen Auto'!W$19,FALSE)),($M14*'Parkeernormen Auto'!W$2)+($N14*'Parkeernormen Auto'!W$3)))</f>
        <v>0</v>
      </c>
      <c r="W14" s="90">
        <f>IF($C14="","",IF($N14="",IF(VLOOKUP($C14,'Parkeernormen Auto'!$A$2:$Z$130,'Parkeernormen Auto'!X$19,FALSE)="-","-",$M14*VLOOKUP($C14,'Parkeernormen Auto'!$A$2:$Z$130,'Parkeernormen Auto'!X$19,FALSE)),($M14*'Parkeernormen Auto'!X$2)+($N14*'Parkeernormen Auto'!X$3)))</f>
        <v>0</v>
      </c>
      <c r="X14" s="90">
        <f>IF($C14="","",IF($N14="",IF(VLOOKUP($C14,'Parkeernormen Auto'!$A$2:$Z$130,'Parkeernormen Auto'!Y$19,FALSE)="-","-",$M14*VLOOKUP($C14,'Parkeernormen Auto'!$A$2:$Z$130,'Parkeernormen Auto'!Y$19,FALSE)),($M14*'Parkeernormen Auto'!Y$2)+($N14*'Parkeernormen Auto'!Y$3)))</f>
        <v>0</v>
      </c>
      <c r="Y14" s="91">
        <f>IF($C14="","",IF($N14="",IF(VLOOKUP($C14,'Parkeernormen Auto'!$A$2:$Z$130,'Parkeernormen Auto'!Z$19,FALSE)="-","-",$M14*VLOOKUP($C14,'Parkeernormen Auto'!$A$2:$Z$130,'Parkeernormen Auto'!Z$19,FALSE)),($M14*'Parkeernormen Auto'!Z$2)+($N14*'Parkeernormen Auto'!Z$3)))</f>
        <v>0</v>
      </c>
      <c r="Z14" s="89"/>
      <c r="AA14" s="67"/>
      <c r="AB14" s="64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</row>
    <row r="15" spans="1:44" x14ac:dyDescent="0.5">
      <c r="A15" s="72" t="s">
        <v>18</v>
      </c>
      <c r="B15" s="73">
        <f>VLOOKUP(A15,'Parkeernormen Auto'!$AB$2:$AD$12,2,FALSE)</f>
        <v>7</v>
      </c>
      <c r="C15" s="73" t="s">
        <v>259</v>
      </c>
      <c r="D15" s="78" t="s">
        <v>31</v>
      </c>
      <c r="E15" s="90">
        <f>IF(C15="","",VLOOKUP(C15,'Parkeernormen Auto'!$A$2:$P$130,B15,FALSE))</f>
        <v>1.6</v>
      </c>
      <c r="F15" s="90">
        <f>IF(C15="","",IF(F14="","",VLOOKUP(C15,'Parkeernormen Auto'!$A$2:$P$130,B15+1,FALSE)))</f>
        <v>0.2</v>
      </c>
      <c r="G15" s="73" t="str">
        <f>IF(C15="","",VLOOKUP(C15,'Parkeernormen Auto'!$A$2:$B$130,2,FALSE))</f>
        <v>Per woning</v>
      </c>
      <c r="H15" s="68" t="s">
        <v>20</v>
      </c>
      <c r="I15" s="90">
        <f>IF(C15="","",IF(VLOOKUP(H15,'Parkeernormen Auto'!$AF$2:$AG$12,2,)&gt;E15,E15,VLOOKUP(H15,'Parkeernormen Auto'!$AF$2:$AG$12,2,)))</f>
        <v>0</v>
      </c>
      <c r="J15" s="90">
        <f t="shared" si="0"/>
        <v>1.6</v>
      </c>
      <c r="K15" s="90">
        <f t="shared" si="1"/>
        <v>0.2</v>
      </c>
      <c r="L15" s="69"/>
      <c r="M15" s="90">
        <f>IF(C15="","",IF(OR(C15='Parkeernormen Auto'!$A$118,C15='Parkeernormen Auto'!$A$119,C15='Parkeernormen Auto'!$A$120,C15='Parkeernormen Auto'!$A$121,C15='Parkeernormen Auto'!$A$122,C15='Parkeernormen Auto'!$A$123,C15='Parkeernormen Auto'!$A$124,C15='Parkeernormen Auto'!$A$125),VLOOKUP($E$1,'Rekentool KDV &amp; BSO Basisschool'!$O$3:$AK$14,IF(C15='Parkeernormen Auto'!$A$118,'Rekentool KDV &amp; BSO Basisschool'!$S$2,IF(C15='Parkeernormen Auto'!$A$119,'Rekentool KDV &amp; BSO Basisschool'!$Y$2,IF(C15='Parkeernormen Auto'!$A$120,'Rekentool KDV &amp; BSO Basisschool'!$AD$2,IF(C15='Parkeernormen Auto'!$A$121,'Rekentool KDV &amp; BSO Basisschool'!$AI$2,IF(C15='Parkeernormen Auto'!$A$122,'Rekentool KDV &amp; BSO Basisschool'!$T$2,IF(C15='Parkeernormen Auto'!$A$123,'Rekentool KDV &amp; BSO Basisschool'!$Z$2,IF(C15='Parkeernormen Auto'!$A$124,'Rekentool KDV &amp; BSO Basisschool'!$AE$2,IF(C15='Parkeernormen Auto'!$A$125,'Rekentool KDV &amp; BSO Basisschool'!$AJ$2,"")))))))),FALSE),L15*J15))</f>
        <v>0</v>
      </c>
      <c r="N15" s="90">
        <f t="shared" si="4"/>
        <v>0</v>
      </c>
      <c r="O15" s="143"/>
      <c r="P15" s="88"/>
      <c r="Q15" s="72" t="str">
        <f t="shared" si="2"/>
        <v>Veld 3 - Rijwoning Vrije Sector Klein - Koop</v>
      </c>
      <c r="R15" s="90">
        <f>IF($C15="","",IF($N15="",IF(VLOOKUP($C15,'Parkeernormen Auto'!$A$2:$Z$130,'Parkeernormen Auto'!S$19,FALSE)="-","-",$M15*VLOOKUP($C15,'Parkeernormen Auto'!$A$2:$Z$130,'Parkeernormen Auto'!S$19,FALSE)),($M15*'Parkeernormen Auto'!S$2)+($N15*'Parkeernormen Auto'!S$3)))</f>
        <v>0</v>
      </c>
      <c r="S15" s="90">
        <f>IF($C15="","",IF($N15="",IF(VLOOKUP($C15,'Parkeernormen Auto'!$A$2:$Z$130,'Parkeernormen Auto'!T$19,FALSE)="-","-",$M15*VLOOKUP($C15,'Parkeernormen Auto'!$A$2:$Z$130,'Parkeernormen Auto'!T$19,FALSE)),($M15*'Parkeernormen Auto'!T$2)+($N15*'Parkeernormen Auto'!T$3)))</f>
        <v>0</v>
      </c>
      <c r="T15" s="90">
        <f>IF($C15="","",IF($N15="",IF(VLOOKUP($C15,'Parkeernormen Auto'!$A$2:$Z$130,'Parkeernormen Auto'!U$19,FALSE)="-","-",$M15*VLOOKUP($C15,'Parkeernormen Auto'!$A$2:$Z$130,'Parkeernormen Auto'!U$19,FALSE)),($M15*'Parkeernormen Auto'!U$2)+($N15*'Parkeernormen Auto'!U$3)))</f>
        <v>0</v>
      </c>
      <c r="U15" s="90">
        <f>IF($C15="","",IF($N15="",IF(VLOOKUP($C15,'Parkeernormen Auto'!$A$2:$Z$130,'Parkeernormen Auto'!V$19,FALSE)="-","-",$M15*VLOOKUP($C15,'Parkeernormen Auto'!$A$2:$Z$130,'Parkeernormen Auto'!V$19,FALSE)),($M15*'Parkeernormen Auto'!V$2)+($N15*'Parkeernormen Auto'!V$3)))</f>
        <v>0</v>
      </c>
      <c r="V15" s="90">
        <f>IF($C15="","",IF($N15="",IF(VLOOKUP($C15,'Parkeernormen Auto'!$A$2:$Z$130,'Parkeernormen Auto'!W$19,FALSE)="-","-",$M15*VLOOKUP($C15,'Parkeernormen Auto'!$A$2:$Z$130,'Parkeernormen Auto'!W$19,FALSE)),($M15*'Parkeernormen Auto'!W$2)+($N15*'Parkeernormen Auto'!W$3)))</f>
        <v>0</v>
      </c>
      <c r="W15" s="90">
        <f>IF($C15="","",IF($N15="",IF(VLOOKUP($C15,'Parkeernormen Auto'!$A$2:$Z$130,'Parkeernormen Auto'!X$19,FALSE)="-","-",$M15*VLOOKUP($C15,'Parkeernormen Auto'!$A$2:$Z$130,'Parkeernormen Auto'!X$19,FALSE)),($M15*'Parkeernormen Auto'!X$2)+($N15*'Parkeernormen Auto'!X$3)))</f>
        <v>0</v>
      </c>
      <c r="X15" s="90">
        <f>IF($C15="","",IF($N15="",IF(VLOOKUP($C15,'Parkeernormen Auto'!$A$2:$Z$130,'Parkeernormen Auto'!Y$19,FALSE)="-","-",$M15*VLOOKUP($C15,'Parkeernormen Auto'!$A$2:$Z$130,'Parkeernormen Auto'!Y$19,FALSE)),($M15*'Parkeernormen Auto'!Y$2)+($N15*'Parkeernormen Auto'!Y$3)))</f>
        <v>0</v>
      </c>
      <c r="Y15" s="91">
        <f>IF($C15="","",IF($N15="",IF(VLOOKUP($C15,'Parkeernormen Auto'!$A$2:$Z$130,'Parkeernormen Auto'!Z$19,FALSE)="-","-",$M15*VLOOKUP($C15,'Parkeernormen Auto'!$A$2:$Z$130,'Parkeernormen Auto'!Z$19,FALSE)),($M15*'Parkeernormen Auto'!Z$2)+($N15*'Parkeernormen Auto'!Z$3)))</f>
        <v>0</v>
      </c>
      <c r="Z15" s="89"/>
      <c r="AA15" s="67"/>
      <c r="AB15" s="64"/>
      <c r="AC15" s="65"/>
      <c r="AD15" s="70"/>
      <c r="AE15" s="70"/>
      <c r="AF15" s="70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</row>
    <row r="16" spans="1:44" x14ac:dyDescent="0.5">
      <c r="A16" s="72" t="s">
        <v>18</v>
      </c>
      <c r="B16" s="73">
        <f>VLOOKUP(A16,'Parkeernormen Auto'!$AB$2:$AD$12,2,FALSE)</f>
        <v>7</v>
      </c>
      <c r="C16" s="73" t="s">
        <v>260</v>
      </c>
      <c r="D16" s="79" t="s">
        <v>32</v>
      </c>
      <c r="E16" s="90">
        <f>IF(C16="","",VLOOKUP(C16,'Parkeernormen Auto'!$A$2:$P$130,B16,FALSE))</f>
        <v>1.2</v>
      </c>
      <c r="F16" s="90">
        <f>IF(C16="","",IF(F15="","",VLOOKUP(C16,'Parkeernormen Auto'!$A$2:$P$130,B16+1,FALSE)))</f>
        <v>0.2</v>
      </c>
      <c r="G16" s="73" t="str">
        <f>IF(C16="","",VLOOKUP(C16,'Parkeernormen Auto'!$A$2:$B$130,2,FALSE))</f>
        <v>Per woning</v>
      </c>
      <c r="H16" s="68" t="s">
        <v>20</v>
      </c>
      <c r="I16" s="90">
        <f>IF(C16="","",IF(VLOOKUP(H16,'Parkeernormen Auto'!$AF$2:$AG$12,2,)&gt;E16,E16,VLOOKUP(H16,'Parkeernormen Auto'!$AF$2:$AG$12,2,)))</f>
        <v>0</v>
      </c>
      <c r="J16" s="90">
        <f t="shared" si="0"/>
        <v>1.2</v>
      </c>
      <c r="K16" s="90">
        <f t="shared" si="1"/>
        <v>0.2</v>
      </c>
      <c r="L16" s="69"/>
      <c r="M16" s="90">
        <f>IF(C16="","",IF(OR(C16='Parkeernormen Auto'!$A$118,C16='Parkeernormen Auto'!$A$119,C16='Parkeernormen Auto'!$A$120,C16='Parkeernormen Auto'!$A$121,C16='Parkeernormen Auto'!$A$122,C16='Parkeernormen Auto'!$A$123,C16='Parkeernormen Auto'!$A$124,C16='Parkeernormen Auto'!$A$125),VLOOKUP($E$1,'Rekentool KDV &amp; BSO Basisschool'!$O$3:$AK$14,IF(C16='Parkeernormen Auto'!$A$118,'Rekentool KDV &amp; BSO Basisschool'!$S$2,IF(C16='Parkeernormen Auto'!$A$119,'Rekentool KDV &amp; BSO Basisschool'!$Y$2,IF(C16='Parkeernormen Auto'!$A$120,'Rekentool KDV &amp; BSO Basisschool'!$AD$2,IF(C16='Parkeernormen Auto'!$A$121,'Rekentool KDV &amp; BSO Basisschool'!$AI$2,IF(C16='Parkeernormen Auto'!$A$122,'Rekentool KDV &amp; BSO Basisschool'!$T$2,IF(C16='Parkeernormen Auto'!$A$123,'Rekentool KDV &amp; BSO Basisschool'!$Z$2,IF(C16='Parkeernormen Auto'!$A$124,'Rekentool KDV &amp; BSO Basisschool'!$AE$2,IF(C16='Parkeernormen Auto'!$A$125,'Rekentool KDV &amp; BSO Basisschool'!$AJ$2,"")))))))),FALSE),L16*J16))</f>
        <v>0</v>
      </c>
      <c r="N16" s="90">
        <f t="shared" si="4"/>
        <v>0</v>
      </c>
      <c r="O16" s="143"/>
      <c r="P16" s="88"/>
      <c r="Q16" s="72" t="str">
        <f t="shared" si="2"/>
        <v>Veld 3 - Rijwoning Betaalbaar - Koop</v>
      </c>
      <c r="R16" s="90">
        <f>IF($C16="","",IF($N16="",IF(VLOOKUP($C16,'Parkeernormen Auto'!$A$2:$Z$130,'Parkeernormen Auto'!S$19,FALSE)="-","-",$M16*VLOOKUP($C16,'Parkeernormen Auto'!$A$2:$Z$130,'Parkeernormen Auto'!S$19,FALSE)),($M16*'Parkeernormen Auto'!S$2)+($N16*'Parkeernormen Auto'!S$3)))</f>
        <v>0</v>
      </c>
      <c r="S16" s="90">
        <f>IF($C16="","",IF($N16="",IF(VLOOKUP($C16,'Parkeernormen Auto'!$A$2:$Z$130,'Parkeernormen Auto'!T$19,FALSE)="-","-",$M16*VLOOKUP($C16,'Parkeernormen Auto'!$A$2:$Z$130,'Parkeernormen Auto'!T$19,FALSE)),($M16*'Parkeernormen Auto'!T$2)+($N16*'Parkeernormen Auto'!T$3)))</f>
        <v>0</v>
      </c>
      <c r="T16" s="90">
        <f>IF($C16="","",IF($N16="",IF(VLOOKUP($C16,'Parkeernormen Auto'!$A$2:$Z$130,'Parkeernormen Auto'!U$19,FALSE)="-","-",$M16*VLOOKUP($C16,'Parkeernormen Auto'!$A$2:$Z$130,'Parkeernormen Auto'!U$19,FALSE)),($M16*'Parkeernormen Auto'!U$2)+($N16*'Parkeernormen Auto'!U$3)))</f>
        <v>0</v>
      </c>
      <c r="U16" s="90">
        <f>IF($C16="","",IF($N16="",IF(VLOOKUP($C16,'Parkeernormen Auto'!$A$2:$Z$130,'Parkeernormen Auto'!V$19,FALSE)="-","-",$M16*VLOOKUP($C16,'Parkeernormen Auto'!$A$2:$Z$130,'Parkeernormen Auto'!V$19,FALSE)),($M16*'Parkeernormen Auto'!V$2)+($N16*'Parkeernormen Auto'!V$3)))</f>
        <v>0</v>
      </c>
      <c r="V16" s="90">
        <f>IF($C16="","",IF($N16="",IF(VLOOKUP($C16,'Parkeernormen Auto'!$A$2:$Z$130,'Parkeernormen Auto'!W$19,FALSE)="-","-",$M16*VLOOKUP($C16,'Parkeernormen Auto'!$A$2:$Z$130,'Parkeernormen Auto'!W$19,FALSE)),($M16*'Parkeernormen Auto'!W$2)+($N16*'Parkeernormen Auto'!W$3)))</f>
        <v>0</v>
      </c>
      <c r="W16" s="90">
        <f>IF($C16="","",IF($N16="",IF(VLOOKUP($C16,'Parkeernormen Auto'!$A$2:$Z$130,'Parkeernormen Auto'!X$19,FALSE)="-","-",$M16*VLOOKUP($C16,'Parkeernormen Auto'!$A$2:$Z$130,'Parkeernormen Auto'!X$19,FALSE)),($M16*'Parkeernormen Auto'!X$2)+($N16*'Parkeernormen Auto'!X$3)))</f>
        <v>0</v>
      </c>
      <c r="X16" s="90">
        <f>IF($C16="","",IF($N16="",IF(VLOOKUP($C16,'Parkeernormen Auto'!$A$2:$Z$130,'Parkeernormen Auto'!Y$19,FALSE)="-","-",$M16*VLOOKUP($C16,'Parkeernormen Auto'!$A$2:$Z$130,'Parkeernormen Auto'!Y$19,FALSE)),($M16*'Parkeernormen Auto'!Y$2)+($N16*'Parkeernormen Auto'!Y$3)))</f>
        <v>0</v>
      </c>
      <c r="Y16" s="91">
        <f>IF($C16="","",IF($N16="",IF(VLOOKUP($C16,'Parkeernormen Auto'!$A$2:$Z$130,'Parkeernormen Auto'!Z$19,FALSE)="-","-",$M16*VLOOKUP($C16,'Parkeernormen Auto'!$A$2:$Z$130,'Parkeernormen Auto'!Z$19,FALSE)),($M16*'Parkeernormen Auto'!Z$2)+($N16*'Parkeernormen Auto'!Z$3)))</f>
        <v>0</v>
      </c>
      <c r="Z16" s="89"/>
      <c r="AA16" s="67"/>
      <c r="AB16" s="64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</row>
    <row r="17" spans="1:44" x14ac:dyDescent="0.5">
      <c r="A17" s="72" t="s">
        <v>18</v>
      </c>
      <c r="B17" s="73">
        <f>VLOOKUP(A17,'Parkeernormen Auto'!$AB$2:$AD$12,2,FALSE)</f>
        <v>7</v>
      </c>
      <c r="C17" s="73" t="s">
        <v>266</v>
      </c>
      <c r="D17" s="80" t="s">
        <v>33</v>
      </c>
      <c r="E17" s="90">
        <f>IF(C17="","",VLOOKUP(C17,'Parkeernormen Auto'!$A$2:$P$130,B17,FALSE))</f>
        <v>0.90000000000000013</v>
      </c>
      <c r="F17" s="90">
        <f>IF(C17="","",IF(F16="","",VLOOKUP(C17,'Parkeernormen Auto'!$A$2:$P$130,B17+1,FALSE)))</f>
        <v>0.2</v>
      </c>
      <c r="G17" s="73" t="str">
        <f>IF(C17="","",VLOOKUP(C17,'Parkeernormen Auto'!$A$2:$B$130,2,FALSE))</f>
        <v>Per woning</v>
      </c>
      <c r="H17" s="68" t="s">
        <v>20</v>
      </c>
      <c r="I17" s="90">
        <f>IF(C17="","",IF(VLOOKUP(H17,'Parkeernormen Auto'!$AF$2:$AG$12,2,)&gt;E17,E17,VLOOKUP(H17,'Parkeernormen Auto'!$AF$2:$AG$12,2,)))</f>
        <v>0</v>
      </c>
      <c r="J17" s="90">
        <f t="shared" si="0"/>
        <v>0.90000000000000013</v>
      </c>
      <c r="K17" s="90">
        <f t="shared" si="1"/>
        <v>0.2</v>
      </c>
      <c r="L17" s="69"/>
      <c r="M17" s="90">
        <f>IF(C17="","",IF(OR(C17='Parkeernormen Auto'!$A$118,C17='Parkeernormen Auto'!$A$119,C17='Parkeernormen Auto'!$A$120,C17='Parkeernormen Auto'!$A$121,C17='Parkeernormen Auto'!$A$122,C17='Parkeernormen Auto'!$A$123,C17='Parkeernormen Auto'!$A$124,C17='Parkeernormen Auto'!$A$125),VLOOKUP($E$1,'Rekentool KDV &amp; BSO Basisschool'!$O$3:$AK$14,IF(C17='Parkeernormen Auto'!$A$118,'Rekentool KDV &amp; BSO Basisschool'!$S$2,IF(C17='Parkeernormen Auto'!$A$119,'Rekentool KDV &amp; BSO Basisschool'!$Y$2,IF(C17='Parkeernormen Auto'!$A$120,'Rekentool KDV &amp; BSO Basisschool'!$AD$2,IF(C17='Parkeernormen Auto'!$A$121,'Rekentool KDV &amp; BSO Basisschool'!$AI$2,IF(C17='Parkeernormen Auto'!$A$122,'Rekentool KDV &amp; BSO Basisschool'!$T$2,IF(C17='Parkeernormen Auto'!$A$123,'Rekentool KDV &amp; BSO Basisschool'!$Z$2,IF(C17='Parkeernormen Auto'!$A$124,'Rekentool KDV &amp; BSO Basisschool'!$AE$2,IF(C17='Parkeernormen Auto'!$A$125,'Rekentool KDV &amp; BSO Basisschool'!$AJ$2,"")))))))),FALSE),L17*J17))</f>
        <v>0</v>
      </c>
      <c r="N17" s="90">
        <f t="shared" si="4"/>
        <v>0</v>
      </c>
      <c r="O17" s="143"/>
      <c r="P17" s="88"/>
      <c r="Q17" s="72" t="str">
        <f t="shared" si="2"/>
        <v>Veld 3 - Rijwoning Midden - Huur</v>
      </c>
      <c r="R17" s="90">
        <f>IF($C17="","",IF($N17="",IF(VLOOKUP($C17,'Parkeernormen Auto'!$A$2:$Z$130,'Parkeernormen Auto'!S$19,FALSE)="-","-",$M17*VLOOKUP($C17,'Parkeernormen Auto'!$A$2:$Z$130,'Parkeernormen Auto'!S$19,FALSE)),($M17*'Parkeernormen Auto'!S$2)+($N17*'Parkeernormen Auto'!S$3)))</f>
        <v>0</v>
      </c>
      <c r="S17" s="90">
        <f>IF($C17="","",IF($N17="",IF(VLOOKUP($C17,'Parkeernormen Auto'!$A$2:$Z$130,'Parkeernormen Auto'!T$19,FALSE)="-","-",$M17*VLOOKUP($C17,'Parkeernormen Auto'!$A$2:$Z$130,'Parkeernormen Auto'!T$19,FALSE)),($M17*'Parkeernormen Auto'!T$2)+($N17*'Parkeernormen Auto'!T$3)))</f>
        <v>0</v>
      </c>
      <c r="T17" s="90">
        <f>IF($C17="","",IF($N17="",IF(VLOOKUP($C17,'Parkeernormen Auto'!$A$2:$Z$130,'Parkeernormen Auto'!U$19,FALSE)="-","-",$M17*VLOOKUP($C17,'Parkeernormen Auto'!$A$2:$Z$130,'Parkeernormen Auto'!U$19,FALSE)),($M17*'Parkeernormen Auto'!U$2)+($N17*'Parkeernormen Auto'!U$3)))</f>
        <v>0</v>
      </c>
      <c r="U17" s="90">
        <f>IF($C17="","",IF($N17="",IF(VLOOKUP($C17,'Parkeernormen Auto'!$A$2:$Z$130,'Parkeernormen Auto'!V$19,FALSE)="-","-",$M17*VLOOKUP($C17,'Parkeernormen Auto'!$A$2:$Z$130,'Parkeernormen Auto'!V$19,FALSE)),($M17*'Parkeernormen Auto'!V$2)+($N17*'Parkeernormen Auto'!V$3)))</f>
        <v>0</v>
      </c>
      <c r="V17" s="90">
        <f>IF($C17="","",IF($N17="",IF(VLOOKUP($C17,'Parkeernormen Auto'!$A$2:$Z$130,'Parkeernormen Auto'!W$19,FALSE)="-","-",$M17*VLOOKUP($C17,'Parkeernormen Auto'!$A$2:$Z$130,'Parkeernormen Auto'!W$19,FALSE)),($M17*'Parkeernormen Auto'!W$2)+($N17*'Parkeernormen Auto'!W$3)))</f>
        <v>0</v>
      </c>
      <c r="W17" s="90">
        <f>IF($C17="","",IF($N17="",IF(VLOOKUP($C17,'Parkeernormen Auto'!$A$2:$Z$130,'Parkeernormen Auto'!X$19,FALSE)="-","-",$M17*VLOOKUP($C17,'Parkeernormen Auto'!$A$2:$Z$130,'Parkeernormen Auto'!X$19,FALSE)),($M17*'Parkeernormen Auto'!X$2)+($N17*'Parkeernormen Auto'!X$3)))</f>
        <v>0</v>
      </c>
      <c r="X17" s="90">
        <f>IF($C17="","",IF($N17="",IF(VLOOKUP($C17,'Parkeernormen Auto'!$A$2:$Z$130,'Parkeernormen Auto'!Y$19,FALSE)="-","-",$M17*VLOOKUP($C17,'Parkeernormen Auto'!$A$2:$Z$130,'Parkeernormen Auto'!Y$19,FALSE)),($M17*'Parkeernormen Auto'!Y$2)+($N17*'Parkeernormen Auto'!Y$3)))</f>
        <v>0</v>
      </c>
      <c r="Y17" s="91">
        <f>IF($C17="","",IF($N17="",IF(VLOOKUP($C17,'Parkeernormen Auto'!$A$2:$Z$130,'Parkeernormen Auto'!Z$19,FALSE)="-","-",$M17*VLOOKUP($C17,'Parkeernormen Auto'!$A$2:$Z$130,'Parkeernormen Auto'!Z$19,FALSE)),($M17*'Parkeernormen Auto'!Z$2)+($N17*'Parkeernormen Auto'!Z$3)))</f>
        <v>0</v>
      </c>
      <c r="Z17" s="89"/>
      <c r="AA17" s="67"/>
      <c r="AB17" s="64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</row>
    <row r="18" spans="1:44" x14ac:dyDescent="0.5">
      <c r="A18" s="72" t="s">
        <v>18</v>
      </c>
      <c r="B18" s="73">
        <f>VLOOKUP(A18,'Parkeernormen Auto'!$AB$2:$AD$12,2,FALSE)</f>
        <v>7</v>
      </c>
      <c r="C18" s="73" t="s">
        <v>266</v>
      </c>
      <c r="D18" s="81" t="s">
        <v>231</v>
      </c>
      <c r="E18" s="90">
        <f>IF(C18="","",VLOOKUP(C18,'Parkeernormen Auto'!$A$2:$P$130,B18,FALSE))</f>
        <v>0.90000000000000013</v>
      </c>
      <c r="F18" s="90">
        <f>IF(C18="","",IF(F17="","",VLOOKUP(C18,'Parkeernormen Auto'!$A$2:$P$130,B18+1,FALSE)))</f>
        <v>0.2</v>
      </c>
      <c r="G18" s="73" t="str">
        <f>IF(C18="","",VLOOKUP(C18,'Parkeernormen Auto'!$A$2:$B$130,2,FALSE))</f>
        <v>Per woning</v>
      </c>
      <c r="H18" s="68" t="s">
        <v>20</v>
      </c>
      <c r="I18" s="90">
        <f>IF(C18="","",IF(VLOOKUP(H18,'Parkeernormen Auto'!$AF$2:$AG$12,2,)&gt;E18,E18,VLOOKUP(H18,'Parkeernormen Auto'!$AF$2:$AG$12,2,)))</f>
        <v>0</v>
      </c>
      <c r="J18" s="90">
        <f t="shared" si="0"/>
        <v>0.90000000000000013</v>
      </c>
      <c r="K18" s="90">
        <f t="shared" si="1"/>
        <v>0.2</v>
      </c>
      <c r="L18" s="69"/>
      <c r="M18" s="90">
        <f>IF(C18="","",IF(OR(C18='Parkeernormen Auto'!$A$118,C18='Parkeernormen Auto'!$A$119,C18='Parkeernormen Auto'!$A$120,C18='Parkeernormen Auto'!$A$121,C18='Parkeernormen Auto'!$A$122,C18='Parkeernormen Auto'!$A$123,C18='Parkeernormen Auto'!$A$124,C18='Parkeernormen Auto'!$A$125),VLOOKUP($E$1,'Rekentool KDV &amp; BSO Basisschool'!$O$3:$AK$14,IF(C18='Parkeernormen Auto'!$A$118,'Rekentool KDV &amp; BSO Basisschool'!$S$2,IF(C18='Parkeernormen Auto'!$A$119,'Rekentool KDV &amp; BSO Basisschool'!$Y$2,IF(C18='Parkeernormen Auto'!$A$120,'Rekentool KDV &amp; BSO Basisschool'!$AD$2,IF(C18='Parkeernormen Auto'!$A$121,'Rekentool KDV &amp; BSO Basisschool'!$AI$2,IF(C18='Parkeernormen Auto'!$A$122,'Rekentool KDV &amp; BSO Basisschool'!$T$2,IF(C18='Parkeernormen Auto'!$A$123,'Rekentool KDV &amp; BSO Basisschool'!$Z$2,IF(C18='Parkeernormen Auto'!$A$124,'Rekentool KDV &amp; BSO Basisschool'!$AE$2,IF(C18='Parkeernormen Auto'!$A$125,'Rekentool KDV &amp; BSO Basisschool'!$AJ$2,"")))))))),FALSE),L18*J18))</f>
        <v>0</v>
      </c>
      <c r="N18" s="90">
        <f t="shared" si="4"/>
        <v>0</v>
      </c>
      <c r="O18" s="143"/>
      <c r="P18" s="88"/>
      <c r="Q18" s="72" t="str">
        <f t="shared" si="2"/>
        <v>Veld 3 - Rijwoning Sociaal - Huur</v>
      </c>
      <c r="R18" s="90">
        <f>IF($C18="","",IF($N18="",IF(VLOOKUP($C18,'Parkeernormen Auto'!$A$2:$Z$130,'Parkeernormen Auto'!S$19,FALSE)="-","-",$M18*VLOOKUP($C18,'Parkeernormen Auto'!$A$2:$Z$130,'Parkeernormen Auto'!S$19,FALSE)),($M18*'Parkeernormen Auto'!S$2)+($N18*'Parkeernormen Auto'!S$3)))</f>
        <v>0</v>
      </c>
      <c r="S18" s="90">
        <f>IF($C18="","",IF($N18="",IF(VLOOKUP($C18,'Parkeernormen Auto'!$A$2:$Z$130,'Parkeernormen Auto'!T$19,FALSE)="-","-",$M18*VLOOKUP($C18,'Parkeernormen Auto'!$A$2:$Z$130,'Parkeernormen Auto'!T$19,FALSE)),($M18*'Parkeernormen Auto'!T$2)+($N18*'Parkeernormen Auto'!T$3)))</f>
        <v>0</v>
      </c>
      <c r="T18" s="90">
        <f>IF($C18="","",IF($N18="",IF(VLOOKUP($C18,'Parkeernormen Auto'!$A$2:$Z$130,'Parkeernormen Auto'!U$19,FALSE)="-","-",$M18*VLOOKUP($C18,'Parkeernormen Auto'!$A$2:$Z$130,'Parkeernormen Auto'!U$19,FALSE)),($M18*'Parkeernormen Auto'!U$2)+($N18*'Parkeernormen Auto'!U$3)))</f>
        <v>0</v>
      </c>
      <c r="U18" s="90">
        <f>IF($C18="","",IF($N18="",IF(VLOOKUP($C18,'Parkeernormen Auto'!$A$2:$Z$130,'Parkeernormen Auto'!V$19,FALSE)="-","-",$M18*VLOOKUP($C18,'Parkeernormen Auto'!$A$2:$Z$130,'Parkeernormen Auto'!V$19,FALSE)),($M18*'Parkeernormen Auto'!V$2)+($N18*'Parkeernormen Auto'!V$3)))</f>
        <v>0</v>
      </c>
      <c r="V18" s="90">
        <f>IF($C18="","",IF($N18="",IF(VLOOKUP($C18,'Parkeernormen Auto'!$A$2:$Z$130,'Parkeernormen Auto'!W$19,FALSE)="-","-",$M18*VLOOKUP($C18,'Parkeernormen Auto'!$A$2:$Z$130,'Parkeernormen Auto'!W$19,FALSE)),($M18*'Parkeernormen Auto'!W$2)+($N18*'Parkeernormen Auto'!W$3)))</f>
        <v>0</v>
      </c>
      <c r="W18" s="90">
        <f>IF($C18="","",IF($N18="",IF(VLOOKUP($C18,'Parkeernormen Auto'!$A$2:$Z$130,'Parkeernormen Auto'!X$19,FALSE)="-","-",$M18*VLOOKUP($C18,'Parkeernormen Auto'!$A$2:$Z$130,'Parkeernormen Auto'!X$19,FALSE)),($M18*'Parkeernormen Auto'!X$2)+($N18*'Parkeernormen Auto'!X$3)))</f>
        <v>0</v>
      </c>
      <c r="X18" s="90">
        <f>IF($C18="","",IF($N18="",IF(VLOOKUP($C18,'Parkeernormen Auto'!$A$2:$Z$130,'Parkeernormen Auto'!Y$19,FALSE)="-","-",$M18*VLOOKUP($C18,'Parkeernormen Auto'!$A$2:$Z$130,'Parkeernormen Auto'!Y$19,FALSE)),($M18*'Parkeernormen Auto'!Y$2)+($N18*'Parkeernormen Auto'!Y$3)))</f>
        <v>0</v>
      </c>
      <c r="Y18" s="91">
        <f>IF($C18="","",IF($N18="",IF(VLOOKUP($C18,'Parkeernormen Auto'!$A$2:$Z$130,'Parkeernormen Auto'!Z$19,FALSE)="-","-",$M18*VLOOKUP($C18,'Parkeernormen Auto'!$A$2:$Z$130,'Parkeernormen Auto'!Z$19,FALSE)),($M18*'Parkeernormen Auto'!Z$2)+($N18*'Parkeernormen Auto'!Z$3)))</f>
        <v>0</v>
      </c>
      <c r="Z18" s="89"/>
      <c r="AA18" s="67"/>
      <c r="AB18" s="64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</row>
    <row r="19" spans="1:44" x14ac:dyDescent="0.5">
      <c r="A19" s="72" t="s">
        <v>18</v>
      </c>
      <c r="B19" s="73">
        <f>VLOOKUP(A19,'Parkeernormen Auto'!$AB$2:$AD$12,2,FALSE)</f>
        <v>7</v>
      </c>
      <c r="C19" s="73" t="s">
        <v>269</v>
      </c>
      <c r="D19" s="74" t="s">
        <v>34</v>
      </c>
      <c r="E19" s="144">
        <f>IF(C19="","",VLOOKUP(C19,'Parkeernormen Auto'!$A$2:$P$130,B19,FALSE))</f>
        <v>0.8</v>
      </c>
      <c r="F19" s="144">
        <f>IF(C19="","",IF(F18="","",VLOOKUP(C19,'Parkeernormen Auto'!$A$2:$P$130,B19+1,FALSE)))</f>
        <v>0.2</v>
      </c>
      <c r="G19" s="145" t="str">
        <f>IF(C19="","",VLOOKUP(C19,'Parkeernormen Auto'!$A$2:$B$130,2,FALSE))</f>
        <v>Per woning</v>
      </c>
      <c r="H19" s="146" t="s">
        <v>20</v>
      </c>
      <c r="I19" s="144">
        <f>IF(C19="","",IF(VLOOKUP(H19,'Parkeernormen Auto'!$AF$2:$AG$12,2,)&gt;E19,E19,VLOOKUP(H19,'Parkeernormen Auto'!$AF$2:$AG$12,2,)))</f>
        <v>0</v>
      </c>
      <c r="J19" s="144">
        <f t="shared" ref="J19" si="5">IF(C19="","",IF(E19="Rekentool","Rekentool",IF(E19-I19&lt;0,0,E19-I19)))</f>
        <v>0.8</v>
      </c>
      <c r="K19" s="144">
        <f t="shared" ref="K19" si="6">IF(F19="","",IF(E19&lt;I19,I19-(E19+F19),F19))</f>
        <v>0.2</v>
      </c>
      <c r="L19" s="139">
        <v>42</v>
      </c>
      <c r="M19" s="144">
        <f>IF(C19="","",IF(OR(C19='Parkeernormen Auto'!$A$118,C19='Parkeernormen Auto'!$A$119,C19='Parkeernormen Auto'!$A$120,C19='Parkeernormen Auto'!$A$121,C19='Parkeernormen Auto'!$A$122,C19='Parkeernormen Auto'!$A$123,C19='Parkeernormen Auto'!$A$124,C19='Parkeernormen Auto'!$A$125),VLOOKUP($E$1,'Rekentool KDV &amp; BSO Basisschool'!$O$3:$AK$14,IF(C19='Parkeernormen Auto'!$A$118,'Rekentool KDV &amp; BSO Basisschool'!$S$2,IF(C19='Parkeernormen Auto'!$A$119,'Rekentool KDV &amp; BSO Basisschool'!$Y$2,IF(C19='Parkeernormen Auto'!$A$120,'Rekentool KDV &amp; BSO Basisschool'!$AD$2,IF(C19='Parkeernormen Auto'!$A$121,'Rekentool KDV &amp; BSO Basisschool'!$AI$2,IF(C19='Parkeernormen Auto'!$A$122,'Rekentool KDV &amp; BSO Basisschool'!$T$2,IF(C19='Parkeernormen Auto'!$A$123,'Rekentool KDV &amp; BSO Basisschool'!$Z$2,IF(C19='Parkeernormen Auto'!$A$124,'Rekentool KDV &amp; BSO Basisschool'!$AE$2,IF(C19='Parkeernormen Auto'!$A$125,'Rekentool KDV &amp; BSO Basisschool'!$AJ$2,"")))))))),FALSE),L19*J19))</f>
        <v>33.6</v>
      </c>
      <c r="N19" s="144">
        <f t="shared" si="4"/>
        <v>8.4</v>
      </c>
      <c r="O19" s="143"/>
      <c r="P19" s="102"/>
      <c r="Q19" s="72" t="str">
        <f t="shared" si="2"/>
        <v>Veld 3 - Appartementen Midden - Huur</v>
      </c>
      <c r="R19" s="144">
        <f>IF($C19="","",IF($N19="",IF(VLOOKUP($C19,'Parkeernormen Auto'!$A$2:$Z$130,'Parkeernormen Auto'!S$19,FALSE)="-","-",$M19*VLOOKUP($C19,'Parkeernormen Auto'!$A$2:$Z$130,'Parkeernormen Auto'!S$19,FALSE)),($M19)+($N19*'Parkeernormen Auto'!S$3)))</f>
        <v>34.440000000000005</v>
      </c>
      <c r="S19" s="144">
        <f>IF($C19="","",IF($N19="",IF(VLOOKUP($C19,'Parkeernormen Auto'!$A$2:$Z$130,'Parkeernormen Auto'!T$19,FALSE)="-","-",$M19*VLOOKUP($C19,'Parkeernormen Auto'!$A$2:$Z$130,'Parkeernormen Auto'!T$19,FALSE)),($M19)+($N19*'Parkeernormen Auto'!T$3)))</f>
        <v>35.28</v>
      </c>
      <c r="T19" s="144">
        <f>IF($C19="","",IF($N19="",IF(VLOOKUP($C19,'Parkeernormen Auto'!$A$2:$Z$130,'Parkeernormen Auto'!U$19,FALSE)="-","-",$M19*VLOOKUP($C19,'Parkeernormen Auto'!$A$2:$Z$130,'Parkeernormen Auto'!U$19,FALSE)),($M19)+($N19*'Parkeernormen Auto'!U$3)))</f>
        <v>40.32</v>
      </c>
      <c r="U19" s="144">
        <f>IF($C19="","",IF($N19="",IF(VLOOKUP($C19,'Parkeernormen Auto'!$A$2:$Z$130,'Parkeernormen Auto'!V$19,FALSE)="-","-",$M19*VLOOKUP($C19,'Parkeernormen Auto'!$A$2:$Z$130,'Parkeernormen Auto'!V$19,FALSE)),($M19)+($N19*'Parkeernormen Auto'!V$3)))</f>
        <v>33.6</v>
      </c>
      <c r="V19" s="144">
        <f>IF($C19="","",IF($N19="",IF(VLOOKUP($C19,'Parkeernormen Auto'!$A$2:$Z$130,'Parkeernormen Auto'!W$19,FALSE)="-","-",$M19*VLOOKUP($C19,'Parkeernormen Auto'!$A$2:$Z$130,'Parkeernormen Auto'!W$19,FALSE)),($M19)+($N19*'Parkeernormen Auto'!W$3)))</f>
        <v>39.480000000000004</v>
      </c>
      <c r="W19" s="144">
        <f>IF($C19="","",IF($N19="",IF(VLOOKUP($C19,'Parkeernormen Auto'!$A$2:$Z$130,'Parkeernormen Auto'!X$19,FALSE)="-","-",$M19*VLOOKUP($C19,'Parkeernormen Auto'!$A$2:$Z$130,'Parkeernormen Auto'!X$19,FALSE)),($M19)+($N19*'Parkeernormen Auto'!X$3)))</f>
        <v>38.64</v>
      </c>
      <c r="X19" s="144">
        <f>IF($C19="","",IF($N19="",IF(VLOOKUP($C19,'Parkeernormen Auto'!$A$2:$Z$130,'Parkeernormen Auto'!Y$19,FALSE)="-","-",$M19*VLOOKUP($C19,'Parkeernormen Auto'!$A$2:$Z$130,'Parkeernormen Auto'!Y$19,FALSE)),($M19)+($N19*'Parkeernormen Auto'!Y$3)))</f>
        <v>42</v>
      </c>
      <c r="Y19" s="153">
        <f>IF($C19="","",IF($N19="",IF(VLOOKUP($C19,'Parkeernormen Auto'!$A$2:$Z$130,'Parkeernormen Auto'!Z$19,FALSE)="-","-",$M19*VLOOKUP($C19,'Parkeernormen Auto'!$A$2:$Z$130,'Parkeernormen Auto'!Z$19,FALSE)),($M19)+($N19*'Parkeernormen Auto'!Z$3)))</f>
        <v>39.480000000000004</v>
      </c>
      <c r="Z19" s="89"/>
      <c r="AA19" s="67"/>
      <c r="AB19" s="64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</row>
    <row r="20" spans="1:44" x14ac:dyDescent="0.5">
      <c r="A20" s="116" t="s">
        <v>18</v>
      </c>
      <c r="B20" s="123">
        <f>VLOOKUP(A20,'Parkeernormen Auto'!$AB$2:$AD$12,2,FALSE)</f>
        <v>7</v>
      </c>
      <c r="C20" s="123" t="s">
        <v>269</v>
      </c>
      <c r="D20" s="126" t="s">
        <v>35</v>
      </c>
      <c r="E20" s="156"/>
      <c r="F20" s="156"/>
      <c r="G20" s="158"/>
      <c r="H20" s="159"/>
      <c r="I20" s="156"/>
      <c r="J20" s="156"/>
      <c r="K20" s="156"/>
      <c r="L20" s="160"/>
      <c r="M20" s="156"/>
      <c r="N20" s="156"/>
      <c r="O20" s="148"/>
      <c r="Q20" s="116" t="str">
        <f t="shared" si="2"/>
        <v>Veld 3 - Appartementen Sociaal - Huur</v>
      </c>
      <c r="R20" s="156"/>
      <c r="S20" s="156">
        <f>IF($C20="","",IF($N20="",IF(VLOOKUP($C20,'Parkeernormen Auto'!$A$2:$Z$130,'Parkeernormen Auto'!T$19,FALSE)="-","-",$M20*VLOOKUP($C20,'Parkeernormen Auto'!$A$2:$Z$130,'Parkeernormen Auto'!T$19,FALSE)),($M20)+($N20*'Parkeernormen Auto'!T$3)))</f>
        <v>0</v>
      </c>
      <c r="T20" s="156">
        <f>IF($C20="","",IF($N20="",IF(VLOOKUP($C20,'Parkeernormen Auto'!$A$2:$Z$130,'Parkeernormen Auto'!U$19,FALSE)="-","-",$M20*VLOOKUP($C20,'Parkeernormen Auto'!$A$2:$Z$130,'Parkeernormen Auto'!U$19,FALSE)),($M20)+($N20*'Parkeernormen Auto'!U$3)))</f>
        <v>0</v>
      </c>
      <c r="U20" s="156">
        <f>IF($C20="","",IF($N20="",IF(VLOOKUP($C20,'Parkeernormen Auto'!$A$2:$Z$130,'Parkeernormen Auto'!V$19,FALSE)="-","-",$M20*VLOOKUP($C20,'Parkeernormen Auto'!$A$2:$Z$130,'Parkeernormen Auto'!V$19,FALSE)),($M20)+($N20*'Parkeernormen Auto'!V$3)))</f>
        <v>0</v>
      </c>
      <c r="V20" s="156">
        <f>IF($C20="","",IF($N20="",IF(VLOOKUP($C20,'Parkeernormen Auto'!$A$2:$Z$130,'Parkeernormen Auto'!W$19,FALSE)="-","-",$M20*VLOOKUP($C20,'Parkeernormen Auto'!$A$2:$Z$130,'Parkeernormen Auto'!W$19,FALSE)),($M20)+($N20*'Parkeernormen Auto'!W$3)))</f>
        <v>0</v>
      </c>
      <c r="W20" s="156">
        <f>IF($C20="","",IF($N20="",IF(VLOOKUP($C20,'Parkeernormen Auto'!$A$2:$Z$130,'Parkeernormen Auto'!X$19,FALSE)="-","-",$M20*VLOOKUP($C20,'Parkeernormen Auto'!$A$2:$Z$130,'Parkeernormen Auto'!X$19,FALSE)),($M20)+($N20*'Parkeernormen Auto'!X$3)))</f>
        <v>0</v>
      </c>
      <c r="X20" s="156">
        <f>IF($C20="","",IF($N20="",IF(VLOOKUP($C20,'Parkeernormen Auto'!$A$2:$Z$130,'Parkeernormen Auto'!Y$19,FALSE)="-","-",$M20*VLOOKUP($C20,'Parkeernormen Auto'!$A$2:$Z$130,'Parkeernormen Auto'!Y$19,FALSE)),($M20)+($N20*'Parkeernormen Auto'!Y$3)))</f>
        <v>0</v>
      </c>
      <c r="Y20" s="157">
        <f>IF($C20="","",IF($N20="",IF(VLOOKUP($C20,'Parkeernormen Auto'!$A$2:$Z$130,'Parkeernormen Auto'!Z$19,FALSE)="-","-",$M20*VLOOKUP($C20,'Parkeernormen Auto'!$A$2:$Z$130,'Parkeernormen Auto'!Z$19,FALSE)),($M20)+($N20*'Parkeernormen Auto'!Z$3)))</f>
        <v>0</v>
      </c>
      <c r="Z20" s="89"/>
      <c r="AA20" s="67"/>
      <c r="AB20" s="64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</row>
    <row r="21" spans="1:44" x14ac:dyDescent="0.5">
      <c r="A21" s="136" t="str">
        <f>"Totaal "&amp;C2&amp;" - Veld 28"</f>
        <v>Totaal Functie Wonen - Veld 28</v>
      </c>
      <c r="B21" s="137"/>
      <c r="C21" s="137"/>
      <c r="D21" s="137"/>
      <c r="E21" s="73"/>
      <c r="F21" s="73"/>
      <c r="G21" s="73"/>
      <c r="H21" s="83"/>
      <c r="I21" s="83"/>
      <c r="J21" s="73"/>
      <c r="K21" s="86"/>
      <c r="L21" s="86">
        <f>ROUNDUP(SUM(L3:L20),0)</f>
        <v>186</v>
      </c>
      <c r="M21" s="86">
        <f>ROUNDUP(SUM(M3:M20),0)</f>
        <v>149</v>
      </c>
      <c r="N21" s="86">
        <f>IF($N19="","",ROUNDUP(SUM(N3:N20),0))</f>
        <v>38</v>
      </c>
      <c r="O21" s="87">
        <f>ROUNDUP(SUM(O3:O20),0)</f>
        <v>289</v>
      </c>
      <c r="P21" s="88"/>
      <c r="Q21" s="82" t="str">
        <f>A21</f>
        <v>Totaal Functie Wonen - Veld 28</v>
      </c>
      <c r="R21" s="86">
        <f t="shared" ref="R21:Y21" si="7">ROUNDUP(SUM(R3:R20),0)</f>
        <v>153</v>
      </c>
      <c r="S21" s="86">
        <f t="shared" si="7"/>
        <v>157</v>
      </c>
      <c r="T21" s="86">
        <f t="shared" si="7"/>
        <v>179</v>
      </c>
      <c r="U21" s="86">
        <f t="shared" si="7"/>
        <v>149</v>
      </c>
      <c r="V21" s="86">
        <f t="shared" si="7"/>
        <v>175</v>
      </c>
      <c r="W21" s="86">
        <f t="shared" si="7"/>
        <v>172</v>
      </c>
      <c r="X21" s="86">
        <f t="shared" si="7"/>
        <v>186</v>
      </c>
      <c r="Y21" s="87">
        <f t="shared" si="7"/>
        <v>175</v>
      </c>
      <c r="Z21" s="89"/>
      <c r="AA21" s="67"/>
      <c r="AB21" s="64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</row>
    <row r="22" spans="1:44" x14ac:dyDescent="0.5">
      <c r="A22" s="72"/>
      <c r="B22" s="73"/>
      <c r="C22" s="73"/>
      <c r="D22" s="73"/>
      <c r="E22" s="83"/>
      <c r="F22" s="73"/>
      <c r="G22" s="73"/>
      <c r="H22" s="83"/>
      <c r="I22" s="83"/>
      <c r="J22" s="83"/>
      <c r="K22" s="88"/>
      <c r="L22" s="88"/>
      <c r="M22" s="83"/>
      <c r="N22" s="73"/>
      <c r="O22" s="104"/>
      <c r="P22" s="88"/>
      <c r="Q22" s="72"/>
      <c r="Y22" s="105"/>
      <c r="Z22" s="89"/>
      <c r="AA22" s="67"/>
      <c r="AB22" s="64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</row>
    <row r="23" spans="1:44" ht="34.049999999999997" customHeight="1" x14ac:dyDescent="0.5">
      <c r="A23" s="71" t="s">
        <v>3</v>
      </c>
      <c r="B23" s="43"/>
      <c r="C23" s="56" t="s">
        <v>36</v>
      </c>
      <c r="D23" s="56" t="s">
        <v>5</v>
      </c>
      <c r="E23" s="56" t="str">
        <f>IF(C23="Functie Wonen","Parkeernorm Bewoners","Parkeernorm Voorziening")</f>
        <v>Parkeernorm Voorziening</v>
      </c>
      <c r="F23" s="56" t="str">
        <f>IF(C23="Functie Wonen","Parkeernorm Bezoekers","")</f>
        <v/>
      </c>
      <c r="G23" s="56" t="s">
        <v>6</v>
      </c>
      <c r="H23" s="56" t="s">
        <v>7</v>
      </c>
      <c r="I23" s="56" t="str">
        <f>IF(C23="Functie Wonen","Reductiefactor Bewoners","Reductiefactor Voorziening")</f>
        <v>Reductiefactor Voorziening</v>
      </c>
      <c r="J23" s="56" t="str">
        <f>IF(C23="Functie Wonen","Berekeningsaantal Bewoners","Berekeningsaantal Voorziening")</f>
        <v>Berekeningsaantal Voorziening</v>
      </c>
      <c r="K23" s="56" t="str">
        <f>IF(C23="Functie Wonen","Berekeningsaantal Bezoekers","")</f>
        <v/>
      </c>
      <c r="L23" s="56" t="s">
        <v>8</v>
      </c>
      <c r="M23" s="56" t="str">
        <f>IF(C23="Functie Wonen","Aantal pp Bewoners","Aantal pp Voorziening")</f>
        <v>Aantal pp Voorziening</v>
      </c>
      <c r="N23" s="56" t="str">
        <f>IF(C23="Functie Wonen","Aantal pp Bezoekers","")</f>
        <v/>
      </c>
      <c r="O23" s="106" t="s">
        <v>9</v>
      </c>
      <c r="P23" s="88"/>
      <c r="Q23" s="71" t="str">
        <f>C23</f>
        <v>Functie Onderwijs</v>
      </c>
      <c r="R23" s="56" t="s">
        <v>10</v>
      </c>
      <c r="S23" s="56" t="s">
        <v>11</v>
      </c>
      <c r="T23" s="56" t="s">
        <v>12</v>
      </c>
      <c r="U23" s="56" t="s">
        <v>13</v>
      </c>
      <c r="V23" s="56" t="s">
        <v>14</v>
      </c>
      <c r="W23" s="56" t="s">
        <v>15</v>
      </c>
      <c r="X23" s="56" t="s">
        <v>16</v>
      </c>
      <c r="Y23" s="107" t="s">
        <v>17</v>
      </c>
      <c r="Z23" s="89"/>
      <c r="AA23" s="67"/>
      <c r="AB23" s="64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</row>
    <row r="24" spans="1:44" x14ac:dyDescent="0.5">
      <c r="A24" s="72" t="s">
        <v>18</v>
      </c>
      <c r="B24" s="73">
        <f>VLOOKUP(A24,'Parkeernormen Auto'!$AB$2:$AD$12,2,FALSE)</f>
        <v>7</v>
      </c>
      <c r="C24" s="73" t="s">
        <v>37</v>
      </c>
      <c r="D24" s="121" t="str">
        <f t="shared" ref="D24:D27" si="8">"Veld 3 - "&amp;C24</f>
        <v>Veld 3 - Basisschool - Halen &amp; Brengen</v>
      </c>
      <c r="E24" s="90" t="str">
        <f>IF(C24="","",VLOOKUP(C24,'Parkeernormen Auto'!$A$2:$P$130,B24,FALSE))</f>
        <v>Rekentool</v>
      </c>
      <c r="F24" s="90" t="str">
        <f>IF(C24="","",IF(F23="","",VLOOKUP(C24,'Parkeernormen Auto'!$A$2:$P$130,B24+1,FALSE)))</f>
        <v/>
      </c>
      <c r="G24" s="73" t="str">
        <f>IF(C24="","",VLOOKUP(C24,'Parkeernormen Auto'!$A$2:$B$130,2,FALSE))</f>
        <v>---</v>
      </c>
      <c r="H24" s="110" t="s">
        <v>20</v>
      </c>
      <c r="I24" s="90">
        <f>IF(C24="","",IF(VLOOKUP(H24,'Parkeernormen Auto'!$AF$2:$AG$12,2,)&gt;E24,E24,VLOOKUP(H24,'Parkeernormen Auto'!$AF$2:$AG$12,2,)))</f>
        <v>0</v>
      </c>
      <c r="J24" s="90" t="str">
        <f t="shared" ref="J24:J27" si="9">IF(C24="","",IF(E24="Rekentool","Rekentool",IF(E24-I24&lt;0,0,E24-I24)))</f>
        <v>Rekentool</v>
      </c>
      <c r="K24" s="73" t="str">
        <f t="shared" ref="K24:K27" si="10">IF(F24="","",IF(E24&lt;I24,I24-(E24+F24),F24))</f>
        <v/>
      </c>
      <c r="L24" s="73"/>
      <c r="M24" s="90">
        <f>IF(C24="","",IF(OR(C24='Parkeernormen Auto'!$A$118,C24='Parkeernormen Auto'!$A$119,C24='Parkeernormen Auto'!$A$120,C24='Parkeernormen Auto'!$A$121,C24='Parkeernormen Auto'!$A$122,C24='Parkeernormen Auto'!$A$123,C24='Parkeernormen Auto'!$A$124,C24='Parkeernormen Auto'!$A$125),VLOOKUP($E$1,'Rekentool KDV &amp; BSO Basisschool'!$O$3:$AK$14,IF(C24='Parkeernormen Auto'!$A$118,'Rekentool KDV &amp; BSO Basisschool'!$S$2,IF(C24='Parkeernormen Auto'!$A$119,'Rekentool KDV &amp; BSO Basisschool'!$Y$2,IF(C24='Parkeernormen Auto'!$A$120,'Rekentool KDV &amp; BSO Basisschool'!$AD$2,IF(C24='Parkeernormen Auto'!$A$121,'Rekentool KDV &amp; BSO Basisschool'!$AI$2,IF(C24='Parkeernormen Auto'!$A$122,'Rekentool KDV &amp; BSO Basisschool'!$T$2,IF(C24='Parkeernormen Auto'!$A$123,'Rekentool KDV &amp; BSO Basisschool'!$Z$2,IF(C24='Parkeernormen Auto'!$A$124,'Rekentool KDV &amp; BSO Basisschool'!$AE$2,IF(C24='Parkeernormen Auto'!$A$125,'Rekentool KDV &amp; BSO Basisschool'!$AJ$2,"")))))))),FALSE),L24*J24))-30</f>
        <v>59</v>
      </c>
      <c r="N24" s="90" t="str">
        <f t="shared" ref="N24:N27" si="11">IF(C24="","",IF(F24="","",L24*K24))</f>
        <v/>
      </c>
      <c r="O24" s="142"/>
      <c r="P24" s="88"/>
      <c r="Q24" s="72" t="str">
        <f t="shared" ref="Q24:Q27" si="12">D24</f>
        <v>Veld 3 - Basisschool - Halen &amp; Brengen</v>
      </c>
      <c r="R24" s="90">
        <f>IF($C24="","",IF($N24="",IF(VLOOKUP($C24,'Parkeernormen Auto'!$A$2:$Z$130,'Parkeernormen Auto'!S$19,FALSE)="-","-",$M24*VLOOKUP($C24,'Parkeernormen Auto'!$A$2:$Z$130,'Parkeernormen Auto'!S$19,FALSE)),($M24*'Parkeernormen Auto'!S$2)+($N24*'Parkeernormen Auto'!S$3)))</f>
        <v>59</v>
      </c>
      <c r="S24" s="90">
        <f>IF($C24="","",IF($N24="",IF(VLOOKUP($C24,'Parkeernormen Auto'!$A$2:$Z$130,'Parkeernormen Auto'!T$19,FALSE)="-","-",$M24*VLOOKUP($C24,'Parkeernormen Auto'!$A$2:$Z$130,'Parkeernormen Auto'!T$19,FALSE)),($M24*'Parkeernormen Auto'!T$2)+($N24*'Parkeernormen Auto'!T$3)))</f>
        <v>44.25</v>
      </c>
      <c r="T24" s="90">
        <f>IF($C24="","",IF($N24="",IF(VLOOKUP($C24,'Parkeernormen Auto'!$A$2:$Z$130,'Parkeernormen Auto'!U$19,FALSE)="-","-",$M24*VLOOKUP($C24,'Parkeernormen Auto'!$A$2:$Z$130,'Parkeernormen Auto'!U$19,FALSE)),($M24*'Parkeernormen Auto'!U$2)+($N24*'Parkeernormen Auto'!U$3)))</f>
        <v>0</v>
      </c>
      <c r="U24" s="90">
        <f>IF($C24="","",IF($N24="",IF(VLOOKUP($C24,'Parkeernormen Auto'!$A$2:$Z$130,'Parkeernormen Auto'!V$19,FALSE)="-","-",$M24*VLOOKUP($C24,'Parkeernormen Auto'!$A$2:$Z$130,'Parkeernormen Auto'!V$19,FALSE)),($M24*'Parkeernormen Auto'!V$2)+($N24*'Parkeernormen Auto'!V$3)))</f>
        <v>0</v>
      </c>
      <c r="V24" s="90">
        <f>IF($C24="","",IF($N24="",IF(VLOOKUP($C24,'Parkeernormen Auto'!$A$2:$Z$130,'Parkeernormen Auto'!W$19,FALSE)="-","-",$M24*VLOOKUP($C24,'Parkeernormen Auto'!$A$2:$Z$130,'Parkeernormen Auto'!W$19,FALSE)),($M24*'Parkeernormen Auto'!W$2)+($N24*'Parkeernormen Auto'!W$3)))</f>
        <v>0</v>
      </c>
      <c r="W24" s="90">
        <f>IF($C24="","",IF($N24="",IF(VLOOKUP($C24,'Parkeernormen Auto'!$A$2:$Z$130,'Parkeernormen Auto'!X$19,FALSE)="-","-",$M24*VLOOKUP($C24,'Parkeernormen Auto'!$A$2:$Z$130,'Parkeernormen Auto'!X$19,FALSE)),($M24*'Parkeernormen Auto'!X$2)+($N24*'Parkeernormen Auto'!X$3)))</f>
        <v>0</v>
      </c>
      <c r="X24" s="90">
        <f>IF($C24="","",IF($N24="",IF(VLOOKUP($C24,'Parkeernormen Auto'!$A$2:$Z$130,'Parkeernormen Auto'!Y$19,FALSE)="-","-",$M24*VLOOKUP($C24,'Parkeernormen Auto'!$A$2:$Z$130,'Parkeernormen Auto'!Y$19,FALSE)),($M24*'Parkeernormen Auto'!Y$2)+($N24*'Parkeernormen Auto'!Y$3)))</f>
        <v>0</v>
      </c>
      <c r="Y24" s="91">
        <f>IF($C24="","",IF($N24="",IF(VLOOKUP($C24,'Parkeernormen Auto'!$A$2:$Z$130,'Parkeernormen Auto'!Z$19,FALSE)="-","-",$M24*VLOOKUP($C24,'Parkeernormen Auto'!$A$2:$Z$130,'Parkeernormen Auto'!Z$19,FALSE)),($M24*'Parkeernormen Auto'!Z$2)+($N24*'Parkeernormen Auto'!Z$3)))</f>
        <v>0</v>
      </c>
      <c r="Z24" s="89"/>
      <c r="AA24" s="67"/>
      <c r="AB24" s="64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</row>
    <row r="25" spans="1:44" x14ac:dyDescent="0.5">
      <c r="A25" s="72" t="s">
        <v>18</v>
      </c>
      <c r="B25" s="73">
        <f>VLOOKUP(A25,'Parkeernormen Auto'!$AB$2:$AD$12,2,FALSE)</f>
        <v>7</v>
      </c>
      <c r="C25" s="73" t="s">
        <v>38</v>
      </c>
      <c r="D25" s="121" t="str">
        <f t="shared" si="8"/>
        <v>Veld 3 - Basisschool - Personeel</v>
      </c>
      <c r="E25" s="90" t="str">
        <f>IF(C25="","",VLOOKUP(C25,'Parkeernormen Auto'!$A$2:$P$130,B25,FALSE))</f>
        <v>Rekentool</v>
      </c>
      <c r="F25" s="90" t="str">
        <f>IF(C25="","",IF(F24="","",VLOOKUP(C25,'Parkeernormen Auto'!$A$2:$P$130,B25+1,FALSE)))</f>
        <v/>
      </c>
      <c r="G25" s="73" t="str">
        <f>IF(C25="","",VLOOKUP(C25,'Parkeernormen Auto'!$A$2:$B$130,2,FALSE))</f>
        <v>---</v>
      </c>
      <c r="H25" s="110" t="s">
        <v>20</v>
      </c>
      <c r="I25" s="90">
        <f>IF(C25="","",IF(VLOOKUP(H25,'Parkeernormen Auto'!$AF$2:$AG$12,2,)&gt;E25,E25,VLOOKUP(H25,'Parkeernormen Auto'!$AF$2:$AG$12,2,)))</f>
        <v>0</v>
      </c>
      <c r="J25" s="90" t="str">
        <f t="shared" si="9"/>
        <v>Rekentool</v>
      </c>
      <c r="K25" s="73" t="str">
        <f t="shared" si="10"/>
        <v/>
      </c>
      <c r="L25" s="73"/>
      <c r="M25" s="90">
        <f>IF(C25="","",IF(OR(C25='Parkeernormen Auto'!$A$118,C25='Parkeernormen Auto'!$A$119,C25='Parkeernormen Auto'!$A$120,C25='Parkeernormen Auto'!$A$121,C25='Parkeernormen Auto'!$A$122,C25='Parkeernormen Auto'!$A$123,C25='Parkeernormen Auto'!$A$124,C25='Parkeernormen Auto'!$A$125),VLOOKUP($E$1,'Rekentool KDV &amp; BSO Basisschool'!$O$3:$AK$14,IF(C25='Parkeernormen Auto'!$A$118,'Rekentool KDV &amp; BSO Basisschool'!$S$2,IF(C25='Parkeernormen Auto'!$A$119,'Rekentool KDV &amp; BSO Basisschool'!$Y$2,IF(C25='Parkeernormen Auto'!$A$120,'Rekentool KDV &amp; BSO Basisschool'!$AD$2,IF(C25='Parkeernormen Auto'!$A$121,'Rekentool KDV &amp; BSO Basisschool'!$AI$2,IF(C25='Parkeernormen Auto'!$A$122,'Rekentool KDV &amp; BSO Basisschool'!$T$2,IF(C25='Parkeernormen Auto'!$A$123,'Rekentool KDV &amp; BSO Basisschool'!$Z$2,IF(C25='Parkeernormen Auto'!$A$124,'Rekentool KDV &amp; BSO Basisschool'!$AE$2,IF(C25='Parkeernormen Auto'!$A$125,'Rekentool KDV &amp; BSO Basisschool'!$AJ$2,"")))))))),FALSE),L25*J25))</f>
        <v>18</v>
      </c>
      <c r="N25" s="90" t="str">
        <f t="shared" si="11"/>
        <v/>
      </c>
      <c r="O25" s="143"/>
      <c r="P25" s="88"/>
      <c r="Q25" s="72" t="str">
        <f t="shared" si="12"/>
        <v>Veld 3 - Basisschool - Personeel</v>
      </c>
      <c r="R25" s="90">
        <f>IF($C25="","",IF($N25="",IF(VLOOKUP($C25,'Parkeernormen Auto'!$A$2:$Z$130,'Parkeernormen Auto'!S$19,FALSE)="-","-",$M25*VLOOKUP($C25,'Parkeernormen Auto'!$A$2:$Z$130,'Parkeernormen Auto'!S$19,FALSE)),($M25*'Parkeernormen Auto'!S$2)+($N25*'Parkeernormen Auto'!S$3)))</f>
        <v>18</v>
      </c>
      <c r="S25" s="90">
        <f>IF($C25="","",IF($N25="",IF(VLOOKUP($C25,'Parkeernormen Auto'!$A$2:$Z$130,'Parkeernormen Auto'!T$19,FALSE)="-","-",$M25*VLOOKUP($C25,'Parkeernormen Auto'!$A$2:$Z$130,'Parkeernormen Auto'!T$19,FALSE)),($M25*'Parkeernormen Auto'!T$2)+($N25*'Parkeernormen Auto'!T$3)))</f>
        <v>18</v>
      </c>
      <c r="T25" s="90">
        <f>IF($C25="","",IF($N25="",IF(VLOOKUP($C25,'Parkeernormen Auto'!$A$2:$Z$130,'Parkeernormen Auto'!U$19,FALSE)="-","-",$M25*VLOOKUP($C25,'Parkeernormen Auto'!$A$2:$Z$130,'Parkeernormen Auto'!U$19,FALSE)),($M25*'Parkeernormen Auto'!U$2)+($N25*'Parkeernormen Auto'!U$3)))</f>
        <v>9</v>
      </c>
      <c r="U25" s="90">
        <f>IF($C25="","",IF($N25="",IF(VLOOKUP($C25,'Parkeernormen Auto'!$A$2:$Z$130,'Parkeernormen Auto'!V$19,FALSE)="-","-",$M25*VLOOKUP($C25,'Parkeernormen Auto'!$A$2:$Z$130,'Parkeernormen Auto'!V$19,FALSE)),($M25*'Parkeernormen Auto'!V$2)+($N25*'Parkeernormen Auto'!V$3)))</f>
        <v>0</v>
      </c>
      <c r="V25" s="90">
        <f>IF($C25="","",IF($N25="",IF(VLOOKUP($C25,'Parkeernormen Auto'!$A$2:$Z$130,'Parkeernormen Auto'!W$19,FALSE)="-","-",$M25*VLOOKUP($C25,'Parkeernormen Auto'!$A$2:$Z$130,'Parkeernormen Auto'!W$19,FALSE)),($M25*'Parkeernormen Auto'!W$2)+($N25*'Parkeernormen Auto'!W$3)))</f>
        <v>0</v>
      </c>
      <c r="W25" s="90">
        <f>IF($C25="","",IF($N25="",IF(VLOOKUP($C25,'Parkeernormen Auto'!$A$2:$Z$130,'Parkeernormen Auto'!X$19,FALSE)="-","-",$M25*VLOOKUP($C25,'Parkeernormen Auto'!$A$2:$Z$130,'Parkeernormen Auto'!X$19,FALSE)),($M25*'Parkeernormen Auto'!X$2)+($N25*'Parkeernormen Auto'!X$3)))</f>
        <v>0</v>
      </c>
      <c r="X25" s="90">
        <f>IF($C25="","",IF($N25="",IF(VLOOKUP($C25,'Parkeernormen Auto'!$A$2:$Z$130,'Parkeernormen Auto'!Y$19,FALSE)="-","-",$M25*VLOOKUP($C25,'Parkeernormen Auto'!$A$2:$Z$130,'Parkeernormen Auto'!Y$19,FALSE)),($M25*'Parkeernormen Auto'!Y$2)+($N25*'Parkeernormen Auto'!Y$3)))</f>
        <v>0</v>
      </c>
      <c r="Y25" s="91">
        <f>IF($C25="","",IF($N25="",IF(VLOOKUP($C25,'Parkeernormen Auto'!$A$2:$Z$130,'Parkeernormen Auto'!Z$19,FALSE)="-","-",$M25*VLOOKUP($C25,'Parkeernormen Auto'!$A$2:$Z$130,'Parkeernormen Auto'!Z$19,FALSE)),($M25*'Parkeernormen Auto'!Z$2)+($N25*'Parkeernormen Auto'!Z$3)))</f>
        <v>0</v>
      </c>
      <c r="Z25" s="89"/>
      <c r="AA25" s="67"/>
      <c r="AB25" s="64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</row>
    <row r="26" spans="1:44" x14ac:dyDescent="0.5">
      <c r="A26" s="72" t="s">
        <v>18</v>
      </c>
      <c r="B26" s="73">
        <f>VLOOKUP(A26,'Parkeernormen Auto'!$AB$2:$AD$12,2,FALSE)</f>
        <v>7</v>
      </c>
      <c r="C26" s="73" t="s">
        <v>39</v>
      </c>
      <c r="D26" s="122" t="str">
        <f t="shared" si="8"/>
        <v>Veld 3 - Kinderdagverblijf (Crèche) - Halen &amp; Brengen</v>
      </c>
      <c r="E26" s="90" t="str">
        <f>IF(C26="","",VLOOKUP(C26,'Parkeernormen Auto'!$A$2:$P$130,B26,FALSE))</f>
        <v>Rekentool</v>
      </c>
      <c r="F26" s="90" t="str">
        <f>IF(C26="","",IF(F25="","",VLOOKUP(C26,'Parkeernormen Auto'!$A$2:$P$130,B26+1,FALSE)))</f>
        <v/>
      </c>
      <c r="G26" s="73" t="str">
        <f>IF(C26="","",VLOOKUP(C26,'Parkeernormen Auto'!$A$2:$B$130,2,FALSE))</f>
        <v>---</v>
      </c>
      <c r="H26" s="110" t="s">
        <v>20</v>
      </c>
      <c r="I26" s="90">
        <f>IF(C26="","",IF(VLOOKUP(H26,'Parkeernormen Auto'!$AF$2:$AG$12,2,)&gt;E26,E26,VLOOKUP(H26,'Parkeernormen Auto'!$AF$2:$AG$12,2,)))</f>
        <v>0</v>
      </c>
      <c r="J26" s="90" t="str">
        <f t="shared" si="9"/>
        <v>Rekentool</v>
      </c>
      <c r="K26" s="73" t="str">
        <f t="shared" si="10"/>
        <v/>
      </c>
      <c r="L26" s="73"/>
      <c r="M26" s="90">
        <f>IF(C26="","",IF(OR(C26='Parkeernormen Auto'!$A$118,C26='Parkeernormen Auto'!$A$119,C26='Parkeernormen Auto'!$A$120,C26='Parkeernormen Auto'!$A$121,C26='Parkeernormen Auto'!$A$122,C26='Parkeernormen Auto'!$A$123,C26='Parkeernormen Auto'!$A$124,C26='Parkeernormen Auto'!$A$125),VLOOKUP($E$1,'Rekentool KDV &amp; BSO Basisschool'!$O$3:$AK$14,IF(C26='Parkeernormen Auto'!$A$118,'Rekentool KDV &amp; BSO Basisschool'!$S$2,IF(C26='Parkeernormen Auto'!$A$119,'Rekentool KDV &amp; BSO Basisschool'!$Y$2,IF(C26='Parkeernormen Auto'!$A$120,'Rekentool KDV &amp; BSO Basisschool'!$AD$2,IF(C26='Parkeernormen Auto'!$A$121,'Rekentool KDV &amp; BSO Basisschool'!$AI$2,IF(C26='Parkeernormen Auto'!$A$122,'Rekentool KDV &amp; BSO Basisschool'!$T$2,IF(C26='Parkeernormen Auto'!$A$123,'Rekentool KDV &amp; BSO Basisschool'!$Z$2,IF(C26='Parkeernormen Auto'!$A$124,'Rekentool KDV &amp; BSO Basisschool'!$AE$2,IF(C26='Parkeernormen Auto'!$A$125,'Rekentool KDV &amp; BSO Basisschool'!$AJ$2,"")))))))),FALSE),L26*J26))</f>
        <v>23</v>
      </c>
      <c r="N26" s="90" t="str">
        <f t="shared" si="11"/>
        <v/>
      </c>
      <c r="O26" s="143"/>
      <c r="P26" s="88"/>
      <c r="Q26" s="72" t="str">
        <f t="shared" si="12"/>
        <v>Veld 3 - Kinderdagverblijf (Crèche) - Halen &amp; Brengen</v>
      </c>
      <c r="R26" s="90">
        <f>IF($C26="","",IF($N26="",IF(VLOOKUP($C26,'Parkeernormen Auto'!$A$2:$Z$130,'Parkeernormen Auto'!S$19,FALSE)="-","-",$M26*VLOOKUP($C26,'Parkeernormen Auto'!$A$2:$Z$130,'Parkeernormen Auto'!S$19,FALSE)),($M26*'Parkeernormen Auto'!S$2)+($N26*'Parkeernormen Auto'!S$3)))</f>
        <v>23</v>
      </c>
      <c r="S26" s="90">
        <f>IF($C26="","",IF($N26="",IF(VLOOKUP($C26,'Parkeernormen Auto'!$A$2:$Z$130,'Parkeernormen Auto'!T$19,FALSE)="-","-",$M26*VLOOKUP($C26,'Parkeernormen Auto'!$A$2:$Z$130,'Parkeernormen Auto'!T$19,FALSE)),($M26*'Parkeernormen Auto'!T$2)+($N26*'Parkeernormen Auto'!T$3)))</f>
        <v>17.25</v>
      </c>
      <c r="T26" s="90">
        <f>IF($C26="","",IF($N26="",IF(VLOOKUP($C26,'Parkeernormen Auto'!$A$2:$Z$130,'Parkeernormen Auto'!U$19,FALSE)="-","-",$M26*VLOOKUP($C26,'Parkeernormen Auto'!$A$2:$Z$130,'Parkeernormen Auto'!U$19,FALSE)),($M26*'Parkeernormen Auto'!U$2)+($N26*'Parkeernormen Auto'!U$3)))</f>
        <v>11.5</v>
      </c>
      <c r="U26" s="90">
        <f>IF($C26="","",IF($N26="",IF(VLOOKUP($C26,'Parkeernormen Auto'!$A$2:$Z$130,'Parkeernormen Auto'!V$19,FALSE)="-","-",$M26*VLOOKUP($C26,'Parkeernormen Auto'!$A$2:$Z$130,'Parkeernormen Auto'!V$19,FALSE)),($M26*'Parkeernormen Auto'!V$2)+($N26*'Parkeernormen Auto'!V$3)))</f>
        <v>0</v>
      </c>
      <c r="V26" s="90">
        <f>IF($C26="","",IF($N26="",IF(VLOOKUP($C26,'Parkeernormen Auto'!$A$2:$Z$130,'Parkeernormen Auto'!W$19,FALSE)="-","-",$M26*VLOOKUP($C26,'Parkeernormen Auto'!$A$2:$Z$130,'Parkeernormen Auto'!W$19,FALSE)),($M26*'Parkeernormen Auto'!W$2)+($N26*'Parkeernormen Auto'!W$3)))</f>
        <v>0</v>
      </c>
      <c r="W26" s="90">
        <f>IF($C26="","",IF($N26="",IF(VLOOKUP($C26,'Parkeernormen Auto'!$A$2:$Z$130,'Parkeernormen Auto'!X$19,FALSE)="-","-",$M26*VLOOKUP($C26,'Parkeernormen Auto'!$A$2:$Z$130,'Parkeernormen Auto'!X$19,FALSE)),($M26*'Parkeernormen Auto'!X$2)+($N26*'Parkeernormen Auto'!X$3)))</f>
        <v>0</v>
      </c>
      <c r="X26" s="90">
        <f>IF($C26="","",IF($N26="",IF(VLOOKUP($C26,'Parkeernormen Auto'!$A$2:$Z$130,'Parkeernormen Auto'!Y$19,FALSE)="-","-",$M26*VLOOKUP($C26,'Parkeernormen Auto'!$A$2:$Z$130,'Parkeernormen Auto'!Y$19,FALSE)),($M26*'Parkeernormen Auto'!Y$2)+($N26*'Parkeernormen Auto'!Y$3)))</f>
        <v>0</v>
      </c>
      <c r="Y26" s="91">
        <f>IF($C26="","",IF($N26="",IF(VLOOKUP($C26,'Parkeernormen Auto'!$A$2:$Z$130,'Parkeernormen Auto'!Z$19,FALSE)="-","-",$M26*VLOOKUP($C26,'Parkeernormen Auto'!$A$2:$Z$130,'Parkeernormen Auto'!Z$19,FALSE)),($M26*'Parkeernormen Auto'!Z$2)+($N26*'Parkeernormen Auto'!Z$3)))</f>
        <v>0</v>
      </c>
      <c r="Z26" s="89"/>
      <c r="AA26" s="67"/>
      <c r="AB26" s="64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</row>
    <row r="27" spans="1:44" x14ac:dyDescent="0.5">
      <c r="A27" s="116" t="s">
        <v>18</v>
      </c>
      <c r="B27" s="123">
        <f>VLOOKUP(A27,'Parkeernormen Auto'!$AB$2:$AD$12,2,FALSE)</f>
        <v>7</v>
      </c>
      <c r="C27" s="123" t="s">
        <v>40</v>
      </c>
      <c r="D27" s="124" t="str">
        <f t="shared" si="8"/>
        <v>Veld 3 - Kinderdagverblijf (Crèche) - Personeel</v>
      </c>
      <c r="E27" s="117" t="str">
        <f>IF(C27="","",VLOOKUP(C27,'Parkeernormen Auto'!$A$2:$P$130,B27,FALSE))</f>
        <v>Rekentool</v>
      </c>
      <c r="F27" s="117" t="str">
        <f>IF(C27="","",IF(F26="","",VLOOKUP(C27,'Parkeernormen Auto'!$A$2:$P$130,B27+1,FALSE)))</f>
        <v/>
      </c>
      <c r="G27" s="123" t="str">
        <f>IF(C27="","",VLOOKUP(C27,'Parkeernormen Auto'!$A$2:$B$130,2,FALSE))</f>
        <v>---</v>
      </c>
      <c r="H27" s="125" t="s">
        <v>20</v>
      </c>
      <c r="I27" s="117">
        <f>IF(C27="","",IF(VLOOKUP(H27,'Parkeernormen Auto'!$AF$2:$AG$12,2,)&gt;E27,E27,VLOOKUP(H27,'Parkeernormen Auto'!$AF$2:$AG$12,2,)))</f>
        <v>0</v>
      </c>
      <c r="J27" s="117" t="str">
        <f t="shared" si="9"/>
        <v>Rekentool</v>
      </c>
      <c r="K27" s="123" t="str">
        <f t="shared" si="10"/>
        <v/>
      </c>
      <c r="L27" s="123"/>
      <c r="M27" s="117">
        <f>IF(C27="","",IF(OR(C27='Parkeernormen Auto'!$A$118,C27='Parkeernormen Auto'!$A$119,C27='Parkeernormen Auto'!$A$120,C27='Parkeernormen Auto'!$A$121,C27='Parkeernormen Auto'!$A$122,C27='Parkeernormen Auto'!$A$123,C27='Parkeernormen Auto'!$A$124,C27='Parkeernormen Auto'!$A$125),VLOOKUP($E$1,'Rekentool KDV &amp; BSO Basisschool'!$O$3:$AK$14,IF(C27='Parkeernormen Auto'!$A$118,'Rekentool KDV &amp; BSO Basisschool'!$S$2,IF(C27='Parkeernormen Auto'!$A$119,'Rekentool KDV &amp; BSO Basisschool'!$Y$2,IF(C27='Parkeernormen Auto'!$A$120,'Rekentool KDV &amp; BSO Basisschool'!$AD$2,IF(C27='Parkeernormen Auto'!$A$121,'Rekentool KDV &amp; BSO Basisschool'!$AI$2,IF(C27='Parkeernormen Auto'!$A$122,'Rekentool KDV &amp; BSO Basisschool'!$T$2,IF(C27='Parkeernormen Auto'!$A$123,'Rekentool KDV &amp; BSO Basisschool'!$Z$2,IF(C27='Parkeernormen Auto'!$A$124,'Rekentool KDV &amp; BSO Basisschool'!$AE$2,IF(C27='Parkeernormen Auto'!$A$125,'Rekentool KDV &amp; BSO Basisschool'!$AJ$2,"")))))))),FALSE),L27*J27))</f>
        <v>17</v>
      </c>
      <c r="N27" s="117" t="str">
        <f t="shared" si="11"/>
        <v/>
      </c>
      <c r="O27" s="148"/>
      <c r="P27" s="88"/>
      <c r="Q27" s="116" t="str">
        <f t="shared" si="12"/>
        <v>Veld 3 - Kinderdagverblijf (Crèche) - Personeel</v>
      </c>
      <c r="R27" s="117">
        <f>IF($C27="","",IF($N27="",IF(VLOOKUP($C27,'Parkeernormen Auto'!$A$2:$Z$130,'Parkeernormen Auto'!S$19,FALSE)="-","-",$M27*VLOOKUP($C27,'Parkeernormen Auto'!$A$2:$Z$130,'Parkeernormen Auto'!S$19,FALSE)),($M27*'Parkeernormen Auto'!S$2)+($N27*'Parkeernormen Auto'!S$3)))</f>
        <v>17</v>
      </c>
      <c r="S27" s="117">
        <f>IF($C27="","",IF($N27="",IF(VLOOKUP($C27,'Parkeernormen Auto'!$A$2:$Z$130,'Parkeernormen Auto'!T$19,FALSE)="-","-",$M27*VLOOKUP($C27,'Parkeernormen Auto'!$A$2:$Z$130,'Parkeernormen Auto'!T$19,FALSE)),($M27*'Parkeernormen Auto'!T$2)+($N27*'Parkeernormen Auto'!T$3)))</f>
        <v>17</v>
      </c>
      <c r="T27" s="117">
        <f>IF($C27="","",IF($N27="",IF(VLOOKUP($C27,'Parkeernormen Auto'!$A$2:$Z$130,'Parkeernormen Auto'!U$19,FALSE)="-","-",$M27*VLOOKUP($C27,'Parkeernormen Auto'!$A$2:$Z$130,'Parkeernormen Auto'!U$19,FALSE)),($M27*'Parkeernormen Auto'!U$2)+($N27*'Parkeernormen Auto'!U$3)))</f>
        <v>8.5</v>
      </c>
      <c r="U27" s="117">
        <f>IF($C27="","",IF($N27="",IF(VLOOKUP($C27,'Parkeernormen Auto'!$A$2:$Z$130,'Parkeernormen Auto'!V$19,FALSE)="-","-",$M27*VLOOKUP($C27,'Parkeernormen Auto'!$A$2:$Z$130,'Parkeernormen Auto'!V$19,FALSE)),($M27*'Parkeernormen Auto'!V$2)+($N27*'Parkeernormen Auto'!V$3)))</f>
        <v>0</v>
      </c>
      <c r="V27" s="117">
        <f>IF($C27="","",IF($N27="",IF(VLOOKUP($C27,'Parkeernormen Auto'!$A$2:$Z$130,'Parkeernormen Auto'!W$19,FALSE)="-","-",$M27*VLOOKUP($C27,'Parkeernormen Auto'!$A$2:$Z$130,'Parkeernormen Auto'!W$19,FALSE)),($M27*'Parkeernormen Auto'!W$2)+($N27*'Parkeernormen Auto'!W$3)))</f>
        <v>0</v>
      </c>
      <c r="W27" s="117">
        <f>IF($C27="","",IF($N27="",IF(VLOOKUP($C27,'Parkeernormen Auto'!$A$2:$Z$130,'Parkeernormen Auto'!X$19,FALSE)="-","-",$M27*VLOOKUP($C27,'Parkeernormen Auto'!$A$2:$Z$130,'Parkeernormen Auto'!X$19,FALSE)),($M27*'Parkeernormen Auto'!X$2)+($N27*'Parkeernormen Auto'!X$3)))</f>
        <v>0</v>
      </c>
      <c r="X27" s="117">
        <f>IF($C27="","",IF($N27="",IF(VLOOKUP($C27,'Parkeernormen Auto'!$A$2:$Z$130,'Parkeernormen Auto'!Y$19,FALSE)="-","-",$M27*VLOOKUP($C27,'Parkeernormen Auto'!$A$2:$Z$130,'Parkeernormen Auto'!Y$19,FALSE)),($M27*'Parkeernormen Auto'!Y$2)+($N27*'Parkeernormen Auto'!Y$3)))</f>
        <v>0</v>
      </c>
      <c r="Y27" s="118">
        <f>IF($C27="","",IF($N27="",IF(VLOOKUP($C27,'Parkeernormen Auto'!$A$2:$Z$130,'Parkeernormen Auto'!Z$19,FALSE)="-","-",$M27*VLOOKUP($C27,'Parkeernormen Auto'!$A$2:$Z$130,'Parkeernormen Auto'!Z$19,FALSE)),($M27*'Parkeernormen Auto'!Z$2)+($N27*'Parkeernormen Auto'!Z$3)))</f>
        <v>0</v>
      </c>
      <c r="Z27" s="89"/>
      <c r="AA27" s="67"/>
      <c r="AB27" s="64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</row>
    <row r="28" spans="1:44" ht="16.149999999999999" thickBot="1" x14ac:dyDescent="0.55000000000000004">
      <c r="A28" s="140" t="str">
        <f>"Totaal "&amp;C23&amp;" - Veld 28"</f>
        <v>Totaal Functie Onderwijs - Veld 28</v>
      </c>
      <c r="B28" s="141"/>
      <c r="C28" s="141"/>
      <c r="D28" s="141"/>
      <c r="E28" s="127"/>
      <c r="F28" s="128"/>
      <c r="G28" s="128"/>
      <c r="H28" s="128"/>
      <c r="I28" s="127"/>
      <c r="J28" s="127"/>
      <c r="K28" s="129"/>
      <c r="L28" s="129"/>
      <c r="M28" s="130">
        <f>MROUND(SUM(M24:M27),1)</f>
        <v>117</v>
      </c>
      <c r="N28" s="130" t="str">
        <f>IF($N27="","",ROUNDUP(SUM(N24:N27),0))</f>
        <v/>
      </c>
      <c r="O28" s="131">
        <f>ROUNDUP(SUM(O24:O27),0)</f>
        <v>0</v>
      </c>
      <c r="P28" s="88"/>
      <c r="Q28" s="112" t="str">
        <f>A28</f>
        <v>Totaal Functie Onderwijs - Veld 28</v>
      </c>
      <c r="R28" s="113">
        <f t="shared" ref="R28:Y28" si="13">ROUNDUP(SUM(R24:R27),0)</f>
        <v>117</v>
      </c>
      <c r="S28" s="113">
        <f t="shared" si="13"/>
        <v>97</v>
      </c>
      <c r="T28" s="113">
        <f t="shared" si="13"/>
        <v>29</v>
      </c>
      <c r="U28" s="113">
        <f t="shared" si="13"/>
        <v>0</v>
      </c>
      <c r="V28" s="113">
        <f t="shared" si="13"/>
        <v>0</v>
      </c>
      <c r="W28" s="113">
        <f t="shared" si="13"/>
        <v>0</v>
      </c>
      <c r="X28" s="113">
        <f t="shared" si="13"/>
        <v>0</v>
      </c>
      <c r="Y28" s="114">
        <f t="shared" si="13"/>
        <v>0</v>
      </c>
      <c r="Z28" s="89"/>
      <c r="AA28" s="67"/>
      <c r="AB28" s="64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</row>
    <row r="29" spans="1:44" ht="16.149999999999999" thickTop="1" x14ac:dyDescent="0.5">
      <c r="A29" s="136" t="str">
        <f>"Totaal Wonen &amp; Onderwijs - Veld 28"</f>
        <v>Totaal Wonen &amp; Onderwijs - Veld 28</v>
      </c>
      <c r="B29" s="137"/>
      <c r="C29" s="137"/>
      <c r="D29" s="137"/>
      <c r="E29" s="83"/>
      <c r="F29" s="73"/>
      <c r="G29" s="73"/>
      <c r="H29" s="73"/>
      <c r="I29" s="83"/>
      <c r="J29" s="83"/>
      <c r="K29" s="88"/>
      <c r="L29" s="88"/>
      <c r="M29" s="86">
        <f>SUM(M21,M28)</f>
        <v>266</v>
      </c>
      <c r="N29" s="86">
        <f>SUM(N21,N28)</f>
        <v>38</v>
      </c>
      <c r="O29" s="86">
        <f>SUM(O21,O28)</f>
        <v>289</v>
      </c>
      <c r="P29" s="88"/>
      <c r="Q29" s="82" t="s">
        <v>270</v>
      </c>
      <c r="R29" s="86">
        <f t="shared" ref="R29:Y29" si="14">R21+R28</f>
        <v>270</v>
      </c>
      <c r="S29" s="86">
        <f t="shared" si="14"/>
        <v>254</v>
      </c>
      <c r="T29" s="86">
        <f t="shared" si="14"/>
        <v>208</v>
      </c>
      <c r="U29" s="86">
        <f t="shared" si="14"/>
        <v>149</v>
      </c>
      <c r="V29" s="86">
        <f t="shared" si="14"/>
        <v>175</v>
      </c>
      <c r="W29" s="86">
        <f t="shared" si="14"/>
        <v>172</v>
      </c>
      <c r="X29" s="86">
        <f t="shared" si="14"/>
        <v>186</v>
      </c>
      <c r="Y29" s="87">
        <f t="shared" si="14"/>
        <v>175</v>
      </c>
      <c r="Z29" s="89"/>
      <c r="AA29" s="67"/>
      <c r="AB29" s="64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</row>
    <row r="30" spans="1:44" x14ac:dyDescent="0.5">
      <c r="A30" s="72"/>
      <c r="B30" s="73"/>
      <c r="C30" s="73"/>
      <c r="D30" s="73"/>
      <c r="E30" s="73"/>
      <c r="F30" s="73"/>
      <c r="G30" s="73"/>
      <c r="H30" s="73"/>
      <c r="I30" s="73"/>
      <c r="J30" s="73"/>
      <c r="K30" s="88"/>
      <c r="L30" s="88"/>
      <c r="M30" s="90"/>
      <c r="N30" s="83"/>
      <c r="O30" s="91"/>
      <c r="P30" s="88"/>
      <c r="Q30" s="72"/>
      <c r="R30" s="83"/>
      <c r="S30" s="83"/>
      <c r="T30" s="83"/>
      <c r="U30" s="83"/>
      <c r="V30" s="83"/>
      <c r="W30" s="83"/>
      <c r="X30" s="83"/>
      <c r="Y30" s="108"/>
      <c r="Z30" s="89"/>
      <c r="AA30" s="67"/>
      <c r="AB30" s="64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</row>
    <row r="31" spans="1:44" ht="31.5" x14ac:dyDescent="0.5">
      <c r="A31" s="71" t="s">
        <v>3</v>
      </c>
      <c r="B31" s="43"/>
      <c r="C31" s="56" t="s">
        <v>4</v>
      </c>
      <c r="D31" s="56" t="s">
        <v>5</v>
      </c>
      <c r="E31" s="56" t="str">
        <f>IF(C31="Functie Wonen","Parkeernorm Bewoners","Parkeernorm Voorziening")</f>
        <v>Parkeernorm Bewoners</v>
      </c>
      <c r="F31" s="56" t="str">
        <f>IF(C31="Functie Wonen","Parkeernorm Bezoekers","")</f>
        <v>Parkeernorm Bezoekers</v>
      </c>
      <c r="G31" s="56" t="s">
        <v>6</v>
      </c>
      <c r="H31" s="56" t="s">
        <v>7</v>
      </c>
      <c r="I31" s="56" t="str">
        <f>IF(C31="Functie Wonen","Reductiefactor Bewoners","Reductiefactor Voorziening")</f>
        <v>Reductiefactor Bewoners</v>
      </c>
      <c r="J31" s="56" t="str">
        <f>IF(C31="Functie Wonen","Berekeningsaantal Bewoners","Berekeningsaantal Voorziening")</f>
        <v>Berekeningsaantal Bewoners</v>
      </c>
      <c r="K31" s="56" t="str">
        <f>IF(C31="Functie Wonen","Berekeningsaantal Bezoekers","")</f>
        <v>Berekeningsaantal Bezoekers</v>
      </c>
      <c r="L31" s="56" t="s">
        <v>8</v>
      </c>
      <c r="M31" s="56" t="str">
        <f>IF(C31="Functie Wonen","Aantal pp Bewoners","Aantal pp Voorziening")</f>
        <v>Aantal pp Bewoners</v>
      </c>
      <c r="N31" s="56" t="str">
        <f>IF(C31="Functie Wonen","Aantal pp Bezoekers","")</f>
        <v>Aantal pp Bezoekers</v>
      </c>
      <c r="O31" s="106" t="s">
        <v>9</v>
      </c>
      <c r="P31" s="88"/>
      <c r="Q31" s="71" t="str">
        <f>C31</f>
        <v>Functie Wonen</v>
      </c>
      <c r="R31" s="56" t="s">
        <v>10</v>
      </c>
      <c r="S31" s="56" t="s">
        <v>11</v>
      </c>
      <c r="T31" s="56" t="s">
        <v>12</v>
      </c>
      <c r="U31" s="56" t="s">
        <v>13</v>
      </c>
      <c r="V31" s="56" t="s">
        <v>14</v>
      </c>
      <c r="W31" s="56" t="s">
        <v>15</v>
      </c>
      <c r="X31" s="56" t="s">
        <v>16</v>
      </c>
      <c r="Y31" s="107" t="s">
        <v>17</v>
      </c>
      <c r="Z31" s="89"/>
      <c r="AA31" s="67"/>
      <c r="AB31" s="64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</row>
    <row r="32" spans="1:44" x14ac:dyDescent="0.5">
      <c r="A32" s="72" t="s">
        <v>18</v>
      </c>
      <c r="B32" s="73">
        <f>VLOOKUP(A32,'Parkeernormen Auto'!$AB$2:$AD$12,2,FALSE)</f>
        <v>7</v>
      </c>
      <c r="C32" s="73" t="s">
        <v>258</v>
      </c>
      <c r="D32" s="77" t="s">
        <v>42</v>
      </c>
      <c r="E32" s="90">
        <f>IF(C32="","",VLOOKUP(C32,'Parkeernormen Auto'!$A$2:$P$130,B32,FALSE))</f>
        <v>1.7</v>
      </c>
      <c r="F32" s="90">
        <f>IF(C32="","",IF(F31="","",VLOOKUP(C32,'Parkeernormen Auto'!$A$2:$P$130,B32+1,FALSE)))</f>
        <v>0.2</v>
      </c>
      <c r="G32" s="73" t="str">
        <f>IF(C32="","",VLOOKUP(C32,'Parkeernormen Auto'!$A$2:$B$130,2,FALSE))</f>
        <v>Per woning</v>
      </c>
      <c r="H32" s="68" t="s">
        <v>20</v>
      </c>
      <c r="I32" s="90">
        <f>IF(C32="","",IF(VLOOKUP(H32,'Parkeernormen Auto'!$AF$2:$AG$12,2,)&gt;E32,E32,VLOOKUP(H32,'Parkeernormen Auto'!$AF$2:$AG$12,2,)))</f>
        <v>0</v>
      </c>
      <c r="J32" s="90">
        <f t="shared" ref="J32:J52" si="15">IF(C32="","",IF(E32="Rekentool","Rekentool",IF(E32-I32&lt;0,0,E32-I32)))</f>
        <v>1.7</v>
      </c>
      <c r="K32" s="90">
        <f t="shared" ref="K32:K52" si="16">IF(F32="","",IF(E32&lt;I32,I32-(E32+F32),F32))</f>
        <v>0.2</v>
      </c>
      <c r="L32" s="69"/>
      <c r="M32" s="90">
        <f>IF(C32="","",IF(OR(C32='Parkeernormen Auto'!$A$118,C32='Parkeernormen Auto'!$A$119,C32='Parkeernormen Auto'!$A$120,C32='Parkeernormen Auto'!$A$121,C32='Parkeernormen Auto'!$A$122,C32='Parkeernormen Auto'!$A$123,C32='Parkeernormen Auto'!$A$124,C32='Parkeernormen Auto'!$A$125),VLOOKUP($E$1,'Rekentool KDV &amp; BSO Basisschool'!$O$3:$AK$14,IF(C32='Parkeernormen Auto'!$A$118,'Rekentool KDV &amp; BSO Basisschool'!$S$2,IF(C32='Parkeernormen Auto'!$A$119,'Rekentool KDV &amp; BSO Basisschool'!$Y$2,IF(C32='Parkeernormen Auto'!$A$120,'Rekentool KDV &amp; BSO Basisschool'!$AD$2,IF(C32='Parkeernormen Auto'!$A$121,'Rekentool KDV &amp; BSO Basisschool'!$AI$2,IF(C32='Parkeernormen Auto'!$A$122,'Rekentool KDV &amp; BSO Basisschool'!$T$2,IF(C32='Parkeernormen Auto'!$A$123,'Rekentool KDV &amp; BSO Basisschool'!$Z$2,IF(C32='Parkeernormen Auto'!$A$124,'Rekentool KDV &amp; BSO Basisschool'!$AE$2,IF(C32='Parkeernormen Auto'!$A$125,'Rekentool KDV &amp; BSO Basisschool'!$AJ$2,"")))))))),FALSE),L32*J32))</f>
        <v>0</v>
      </c>
      <c r="N32" s="90">
        <f t="shared" ref="N32:N52" si="17">IF(C32="","",IF(F32="","",L32*K32))</f>
        <v>0</v>
      </c>
      <c r="O32" s="142">
        <v>100</v>
      </c>
      <c r="P32" s="88"/>
      <c r="Q32" s="72" t="str">
        <f t="shared" ref="Q32:Q52" si="18">D32</f>
        <v>Veld 1 - Rijwoning Vrije Sector Midden - Koop</v>
      </c>
      <c r="R32" s="90">
        <f>IF($C32="","",IF($N32="",IF(VLOOKUP($C32,'Parkeernormen Auto'!$A$2:$Z$130,'Parkeernormen Auto'!S$19,FALSE)="-","-",$M32*VLOOKUP($C32,'Parkeernormen Auto'!$A$2:$Z$130,'Parkeernormen Auto'!S$19,FALSE)),($M32*'Parkeernormen Auto'!S$2)+($N32*'Parkeernormen Auto'!S$3)))</f>
        <v>0</v>
      </c>
      <c r="S32" s="90">
        <f>IF($C32="","",IF($N32="",IF(VLOOKUP($C32,'Parkeernormen Auto'!$A$2:$Z$130,'Parkeernormen Auto'!T$19,FALSE)="-","-",$M32*VLOOKUP($C32,'Parkeernormen Auto'!$A$2:$Z$130,'Parkeernormen Auto'!T$19,FALSE)),($M32*'Parkeernormen Auto'!T$2)+($N32*'Parkeernormen Auto'!T$3)))</f>
        <v>0</v>
      </c>
      <c r="T32" s="90">
        <f>IF($C32="","",IF($N32="",IF(VLOOKUP($C32,'Parkeernormen Auto'!$A$2:$Z$130,'Parkeernormen Auto'!U$19,FALSE)="-","-",$M32*VLOOKUP($C32,'Parkeernormen Auto'!$A$2:$Z$130,'Parkeernormen Auto'!U$19,FALSE)),($M32*'Parkeernormen Auto'!U$2)+($N32*'Parkeernormen Auto'!U$3)))</f>
        <v>0</v>
      </c>
      <c r="U32" s="90">
        <f>IF($C32="","",IF($N32="",IF(VLOOKUP($C32,'Parkeernormen Auto'!$A$2:$Z$130,'Parkeernormen Auto'!V$19,FALSE)="-","-",$M32*VLOOKUP($C32,'Parkeernormen Auto'!$A$2:$Z$130,'Parkeernormen Auto'!V$19,FALSE)),($M32*'Parkeernormen Auto'!V$2)+($N32*'Parkeernormen Auto'!V$3)))</f>
        <v>0</v>
      </c>
      <c r="V32" s="90">
        <f>IF($C32="","",IF($N32="",IF(VLOOKUP($C32,'Parkeernormen Auto'!$A$2:$Z$130,'Parkeernormen Auto'!W$19,FALSE)="-","-",$M32*VLOOKUP($C32,'Parkeernormen Auto'!$A$2:$Z$130,'Parkeernormen Auto'!W$19,FALSE)),($M32*'Parkeernormen Auto'!W$2)+($N32*'Parkeernormen Auto'!W$3)))</f>
        <v>0</v>
      </c>
      <c r="W32" s="90">
        <f>IF($C32="","",IF($N32="",IF(VLOOKUP($C32,'Parkeernormen Auto'!$A$2:$Z$130,'Parkeernormen Auto'!X$19,FALSE)="-","-",$M32*VLOOKUP($C32,'Parkeernormen Auto'!$A$2:$Z$130,'Parkeernormen Auto'!X$19,FALSE)),($M32*'Parkeernormen Auto'!X$2)+($N32*'Parkeernormen Auto'!X$3)))</f>
        <v>0</v>
      </c>
      <c r="X32" s="90">
        <f>IF($C32="","",IF($N32="",IF(VLOOKUP($C32,'Parkeernormen Auto'!$A$2:$Z$130,'Parkeernormen Auto'!Y$19,FALSE)="-","-",$M32*VLOOKUP($C32,'Parkeernormen Auto'!$A$2:$Z$130,'Parkeernormen Auto'!Y$19,FALSE)),($M32*'Parkeernormen Auto'!Y$2)+($N32*'Parkeernormen Auto'!Y$3)))</f>
        <v>0</v>
      </c>
      <c r="Y32" s="91">
        <f>IF($C32="","",IF($N32="",IF(VLOOKUP($C32,'Parkeernormen Auto'!$A$2:$Z$130,'Parkeernormen Auto'!Z$19,FALSE)="-","-",$M32*VLOOKUP($C32,'Parkeernormen Auto'!$A$2:$Z$130,'Parkeernormen Auto'!Z$19,FALSE)),($M32*'Parkeernormen Auto'!Z$2)+($N32*'Parkeernormen Auto'!Z$3)))</f>
        <v>0</v>
      </c>
      <c r="Z32" s="89"/>
      <c r="AA32" s="67"/>
      <c r="AB32" s="64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</row>
    <row r="33" spans="1:44" x14ac:dyDescent="0.5">
      <c r="A33" s="72" t="s">
        <v>18</v>
      </c>
      <c r="B33" s="73">
        <f>VLOOKUP(A33,'Parkeernormen Auto'!$AB$2:$AD$12,2,FALSE)</f>
        <v>7</v>
      </c>
      <c r="C33" s="73" t="s">
        <v>259</v>
      </c>
      <c r="D33" s="78" t="s">
        <v>43</v>
      </c>
      <c r="E33" s="90">
        <f>IF(C33="","",VLOOKUP(C33,'Parkeernormen Auto'!$A$2:$P$130,B33,FALSE))</f>
        <v>1.6</v>
      </c>
      <c r="F33" s="90">
        <f>IF(C33="","",IF(F32="","",VLOOKUP(C33,'Parkeernormen Auto'!$A$2:$P$130,B33+1,FALSE)))</f>
        <v>0.2</v>
      </c>
      <c r="G33" s="73" t="str">
        <f>IF(C33="","",VLOOKUP(C33,'Parkeernormen Auto'!$A$2:$B$130,2,FALSE))</f>
        <v>Per woning</v>
      </c>
      <c r="H33" s="68" t="s">
        <v>20</v>
      </c>
      <c r="I33" s="90">
        <f>IF(C33="","",IF(VLOOKUP(H33,'Parkeernormen Auto'!$AF$2:$AG$12,2,)&gt;E33,E33,VLOOKUP(H33,'Parkeernormen Auto'!$AF$2:$AG$12,2,)))</f>
        <v>0</v>
      </c>
      <c r="J33" s="90">
        <f t="shared" si="15"/>
        <v>1.6</v>
      </c>
      <c r="K33" s="90">
        <f t="shared" si="16"/>
        <v>0.2</v>
      </c>
      <c r="L33" s="69"/>
      <c r="M33" s="90">
        <f>IF(C33="","",IF(OR(C33='Parkeernormen Auto'!$A$118,C33='Parkeernormen Auto'!$A$119,C33='Parkeernormen Auto'!$A$120,C33='Parkeernormen Auto'!$A$121,C33='Parkeernormen Auto'!$A$122,C33='Parkeernormen Auto'!$A$123,C33='Parkeernormen Auto'!$A$124,C33='Parkeernormen Auto'!$A$125),VLOOKUP($E$1,'Rekentool KDV &amp; BSO Basisschool'!$O$3:$AK$14,IF(C33='Parkeernormen Auto'!$A$118,'Rekentool KDV &amp; BSO Basisschool'!$S$2,IF(C33='Parkeernormen Auto'!$A$119,'Rekentool KDV &amp; BSO Basisschool'!$Y$2,IF(C33='Parkeernormen Auto'!$A$120,'Rekentool KDV &amp; BSO Basisschool'!$AD$2,IF(C33='Parkeernormen Auto'!$A$121,'Rekentool KDV &amp; BSO Basisschool'!$AI$2,IF(C33='Parkeernormen Auto'!$A$122,'Rekentool KDV &amp; BSO Basisschool'!$T$2,IF(C33='Parkeernormen Auto'!$A$123,'Rekentool KDV &amp; BSO Basisschool'!$Z$2,IF(C33='Parkeernormen Auto'!$A$124,'Rekentool KDV &amp; BSO Basisschool'!$AE$2,IF(C33='Parkeernormen Auto'!$A$125,'Rekentool KDV &amp; BSO Basisschool'!$AJ$2,"")))))))),FALSE),L33*J33))</f>
        <v>0</v>
      </c>
      <c r="N33" s="90">
        <f t="shared" si="17"/>
        <v>0</v>
      </c>
      <c r="O33" s="143"/>
      <c r="P33" s="88"/>
      <c r="Q33" s="72" t="str">
        <f t="shared" si="18"/>
        <v>Veld 1 - Rijwoning Vrije Sector Klein - Koop</v>
      </c>
      <c r="R33" s="90">
        <f>IF($C33="","",IF($N33="",IF(VLOOKUP($C33,'Parkeernormen Auto'!$A$2:$Z$130,'Parkeernormen Auto'!S$19,FALSE)="-","-",$M33*VLOOKUP($C33,'Parkeernormen Auto'!$A$2:$Z$130,'Parkeernormen Auto'!S$19,FALSE)),($M33*'Parkeernormen Auto'!S$2)+($N33*'Parkeernormen Auto'!S$3)))</f>
        <v>0</v>
      </c>
      <c r="S33" s="90">
        <f>IF($C33="","",IF($N33="",IF(VLOOKUP($C33,'Parkeernormen Auto'!$A$2:$Z$130,'Parkeernormen Auto'!T$19,FALSE)="-","-",$M33*VLOOKUP($C33,'Parkeernormen Auto'!$A$2:$Z$130,'Parkeernormen Auto'!T$19,FALSE)),($M33*'Parkeernormen Auto'!T$2)+($N33*'Parkeernormen Auto'!T$3)))</f>
        <v>0</v>
      </c>
      <c r="T33" s="90">
        <f>IF($C33="","",IF($N33="",IF(VLOOKUP($C33,'Parkeernormen Auto'!$A$2:$Z$130,'Parkeernormen Auto'!U$19,FALSE)="-","-",$M33*VLOOKUP($C33,'Parkeernormen Auto'!$A$2:$Z$130,'Parkeernormen Auto'!U$19,FALSE)),($M33*'Parkeernormen Auto'!U$2)+($N33*'Parkeernormen Auto'!U$3)))</f>
        <v>0</v>
      </c>
      <c r="U33" s="90">
        <f>IF($C33="","",IF($N33="",IF(VLOOKUP($C33,'Parkeernormen Auto'!$A$2:$Z$130,'Parkeernormen Auto'!V$19,FALSE)="-","-",$M33*VLOOKUP($C33,'Parkeernormen Auto'!$A$2:$Z$130,'Parkeernormen Auto'!V$19,FALSE)),($M33*'Parkeernormen Auto'!V$2)+($N33*'Parkeernormen Auto'!V$3)))</f>
        <v>0</v>
      </c>
      <c r="V33" s="90">
        <f>IF($C33="","",IF($N33="",IF(VLOOKUP($C33,'Parkeernormen Auto'!$A$2:$Z$130,'Parkeernormen Auto'!W$19,FALSE)="-","-",$M33*VLOOKUP($C33,'Parkeernormen Auto'!$A$2:$Z$130,'Parkeernormen Auto'!W$19,FALSE)),($M33*'Parkeernormen Auto'!W$2)+($N33*'Parkeernormen Auto'!W$3)))</f>
        <v>0</v>
      </c>
      <c r="W33" s="90">
        <f>IF($C33="","",IF($N33="",IF(VLOOKUP($C33,'Parkeernormen Auto'!$A$2:$Z$130,'Parkeernormen Auto'!X$19,FALSE)="-","-",$M33*VLOOKUP($C33,'Parkeernormen Auto'!$A$2:$Z$130,'Parkeernormen Auto'!X$19,FALSE)),($M33*'Parkeernormen Auto'!X$2)+($N33*'Parkeernormen Auto'!X$3)))</f>
        <v>0</v>
      </c>
      <c r="X33" s="90">
        <f>IF($C33="","",IF($N33="",IF(VLOOKUP($C33,'Parkeernormen Auto'!$A$2:$Z$130,'Parkeernormen Auto'!Y$19,FALSE)="-","-",$M33*VLOOKUP($C33,'Parkeernormen Auto'!$A$2:$Z$130,'Parkeernormen Auto'!Y$19,FALSE)),($M33*'Parkeernormen Auto'!Y$2)+($N33*'Parkeernormen Auto'!Y$3)))</f>
        <v>0</v>
      </c>
      <c r="Y33" s="91">
        <f>IF($C33="","",IF($N33="",IF(VLOOKUP($C33,'Parkeernormen Auto'!$A$2:$Z$130,'Parkeernormen Auto'!Z$19,FALSE)="-","-",$M33*VLOOKUP($C33,'Parkeernormen Auto'!$A$2:$Z$130,'Parkeernormen Auto'!Z$19,FALSE)),($M33*'Parkeernormen Auto'!Z$2)+($N33*'Parkeernormen Auto'!Z$3)))</f>
        <v>0</v>
      </c>
      <c r="Z33" s="89"/>
      <c r="AA33" s="67"/>
      <c r="AB33" s="64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</row>
    <row r="34" spans="1:44" x14ac:dyDescent="0.5">
      <c r="A34" s="72" t="s">
        <v>18</v>
      </c>
      <c r="B34" s="73">
        <f>VLOOKUP(A34,'Parkeernormen Auto'!$AB$2:$AD$12,2,FALSE)</f>
        <v>7</v>
      </c>
      <c r="C34" s="73" t="s">
        <v>260</v>
      </c>
      <c r="D34" s="79" t="s">
        <v>257</v>
      </c>
      <c r="E34" s="90">
        <f>IF(C34="","",VLOOKUP(C34,'Parkeernormen Auto'!$A$2:$P$130,B34,FALSE))</f>
        <v>1.2</v>
      </c>
      <c r="F34" s="90">
        <f>IF(C34="","",IF(F33="","",VLOOKUP(C34,'Parkeernormen Auto'!$A$2:$P$130,B34+1,FALSE)))</f>
        <v>0.2</v>
      </c>
      <c r="G34" s="73" t="str">
        <f>IF(C34="","",VLOOKUP(C34,'Parkeernormen Auto'!$A$2:$B$130,2,FALSE))</f>
        <v>Per woning</v>
      </c>
      <c r="H34" s="68" t="s">
        <v>20</v>
      </c>
      <c r="I34" s="90">
        <f>IF(C34="","",IF(VLOOKUP(H34,'Parkeernormen Auto'!$AF$2:$AG$12,2,)&gt;E34,E34,VLOOKUP(H34,'Parkeernormen Auto'!$AF$2:$AG$12,2,)))</f>
        <v>0</v>
      </c>
      <c r="J34" s="90">
        <f t="shared" si="15"/>
        <v>1.2</v>
      </c>
      <c r="K34" s="90">
        <f t="shared" si="16"/>
        <v>0.2</v>
      </c>
      <c r="L34" s="69"/>
      <c r="M34" s="90">
        <f>IF(C34="","",IF(OR(C34='Parkeernormen Auto'!$A$118,C34='Parkeernormen Auto'!$A$119,C34='Parkeernormen Auto'!$A$120,C34='Parkeernormen Auto'!$A$121,C34='Parkeernormen Auto'!$A$122,C34='Parkeernormen Auto'!$A$123,C34='Parkeernormen Auto'!$A$124,C34='Parkeernormen Auto'!$A$125),VLOOKUP($E$1,'Rekentool KDV &amp; BSO Basisschool'!$O$3:$AK$14,IF(C34='Parkeernormen Auto'!$A$118,'Rekentool KDV &amp; BSO Basisschool'!$S$2,IF(C34='Parkeernormen Auto'!$A$119,'Rekentool KDV &amp; BSO Basisschool'!$Y$2,IF(C34='Parkeernormen Auto'!$A$120,'Rekentool KDV &amp; BSO Basisschool'!$AD$2,IF(C34='Parkeernormen Auto'!$A$121,'Rekentool KDV &amp; BSO Basisschool'!$AI$2,IF(C34='Parkeernormen Auto'!$A$122,'Rekentool KDV &amp; BSO Basisschool'!$T$2,IF(C34='Parkeernormen Auto'!$A$123,'Rekentool KDV &amp; BSO Basisschool'!$Z$2,IF(C34='Parkeernormen Auto'!$A$124,'Rekentool KDV &amp; BSO Basisschool'!$AE$2,IF(C34='Parkeernormen Auto'!$A$125,'Rekentool KDV &amp; BSO Basisschool'!$AJ$2,"")))))))),FALSE),L34*J34))</f>
        <v>0</v>
      </c>
      <c r="N34" s="90">
        <f t="shared" si="17"/>
        <v>0</v>
      </c>
      <c r="O34" s="143"/>
      <c r="P34" s="88"/>
      <c r="Q34" s="72" t="str">
        <f t="shared" si="18"/>
        <v>Veld 1 - Rijwoning Betaalbaar - Koop</v>
      </c>
      <c r="R34" s="90">
        <f>IF($C34="","",IF($N34="",IF(VLOOKUP($C34,'Parkeernormen Auto'!$A$2:$Z$130,'Parkeernormen Auto'!S$19,FALSE)="-","-",$M34*VLOOKUP($C34,'Parkeernormen Auto'!$A$2:$Z$130,'Parkeernormen Auto'!S$19,FALSE)),($M34*'Parkeernormen Auto'!S$2)+($N34*'Parkeernormen Auto'!S$3)))</f>
        <v>0</v>
      </c>
      <c r="S34" s="90">
        <f>IF($C34="","",IF($N34="",IF(VLOOKUP($C34,'Parkeernormen Auto'!$A$2:$Z$130,'Parkeernormen Auto'!T$19,FALSE)="-","-",$M34*VLOOKUP($C34,'Parkeernormen Auto'!$A$2:$Z$130,'Parkeernormen Auto'!T$19,FALSE)),($M34*'Parkeernormen Auto'!T$2)+($N34*'Parkeernormen Auto'!T$3)))</f>
        <v>0</v>
      </c>
      <c r="T34" s="90">
        <f>IF($C34="","",IF($N34="",IF(VLOOKUP($C34,'Parkeernormen Auto'!$A$2:$Z$130,'Parkeernormen Auto'!U$19,FALSE)="-","-",$M34*VLOOKUP($C34,'Parkeernormen Auto'!$A$2:$Z$130,'Parkeernormen Auto'!U$19,FALSE)),($M34*'Parkeernormen Auto'!U$2)+($N34*'Parkeernormen Auto'!U$3)))</f>
        <v>0</v>
      </c>
      <c r="U34" s="90">
        <f>IF($C34="","",IF($N34="",IF(VLOOKUP($C34,'Parkeernormen Auto'!$A$2:$Z$130,'Parkeernormen Auto'!V$19,FALSE)="-","-",$M34*VLOOKUP($C34,'Parkeernormen Auto'!$A$2:$Z$130,'Parkeernormen Auto'!V$19,FALSE)),($M34*'Parkeernormen Auto'!V$2)+($N34*'Parkeernormen Auto'!V$3)))</f>
        <v>0</v>
      </c>
      <c r="V34" s="90">
        <f>IF($C34="","",IF($N34="",IF(VLOOKUP($C34,'Parkeernormen Auto'!$A$2:$Z$130,'Parkeernormen Auto'!W$19,FALSE)="-","-",$M34*VLOOKUP($C34,'Parkeernormen Auto'!$A$2:$Z$130,'Parkeernormen Auto'!W$19,FALSE)),($M34*'Parkeernormen Auto'!W$2)+($N34*'Parkeernormen Auto'!W$3)))</f>
        <v>0</v>
      </c>
      <c r="W34" s="90">
        <f>IF($C34="","",IF($N34="",IF(VLOOKUP($C34,'Parkeernormen Auto'!$A$2:$Z$130,'Parkeernormen Auto'!X$19,FALSE)="-","-",$M34*VLOOKUP($C34,'Parkeernormen Auto'!$A$2:$Z$130,'Parkeernormen Auto'!X$19,FALSE)),($M34*'Parkeernormen Auto'!X$2)+($N34*'Parkeernormen Auto'!X$3)))</f>
        <v>0</v>
      </c>
      <c r="X34" s="90">
        <f>IF($C34="","",IF($N34="",IF(VLOOKUP($C34,'Parkeernormen Auto'!$A$2:$Z$130,'Parkeernormen Auto'!Y$19,FALSE)="-","-",$M34*VLOOKUP($C34,'Parkeernormen Auto'!$A$2:$Z$130,'Parkeernormen Auto'!Y$19,FALSE)),($M34*'Parkeernormen Auto'!Y$2)+($N34*'Parkeernormen Auto'!Y$3)))</f>
        <v>0</v>
      </c>
      <c r="Y34" s="91">
        <f>IF($C34="","",IF($N34="",IF(VLOOKUP($C34,'Parkeernormen Auto'!$A$2:$Z$130,'Parkeernormen Auto'!Z$19,FALSE)="-","-",$M34*VLOOKUP($C34,'Parkeernormen Auto'!$A$2:$Z$130,'Parkeernormen Auto'!Z$19,FALSE)),($M34*'Parkeernormen Auto'!Z$2)+($N34*'Parkeernormen Auto'!Z$3)))</f>
        <v>0</v>
      </c>
      <c r="Z34" s="89"/>
      <c r="AA34" s="67"/>
      <c r="AB34" s="64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</row>
    <row r="35" spans="1:44" x14ac:dyDescent="0.5">
      <c r="A35" s="72" t="s">
        <v>18</v>
      </c>
      <c r="B35" s="73">
        <f>VLOOKUP(A35,'Parkeernormen Auto'!$AB$2:$AD$12,2,FALSE)</f>
        <v>7</v>
      </c>
      <c r="C35" s="73" t="s">
        <v>266</v>
      </c>
      <c r="D35" s="80" t="s">
        <v>44</v>
      </c>
      <c r="E35" s="90">
        <f>IF(C35="","",VLOOKUP(C35,'Parkeernormen Auto'!$A$2:$P$130,B35,FALSE))</f>
        <v>0.90000000000000013</v>
      </c>
      <c r="F35" s="90">
        <f>IF(C35="","",IF(F34="","",VLOOKUP(C35,'Parkeernormen Auto'!$A$2:$P$130,B35+1,FALSE)))</f>
        <v>0.2</v>
      </c>
      <c r="G35" s="73" t="str">
        <f>IF(C35="","",VLOOKUP(C35,'Parkeernormen Auto'!$A$2:$B$130,2,FALSE))</f>
        <v>Per woning</v>
      </c>
      <c r="H35" s="68" t="s">
        <v>20</v>
      </c>
      <c r="I35" s="90">
        <f>IF(C35="","",IF(VLOOKUP(H35,'Parkeernormen Auto'!$AF$2:$AG$12,2,)&gt;E35,E35,VLOOKUP(H35,'Parkeernormen Auto'!$AF$2:$AG$12,2,)))</f>
        <v>0</v>
      </c>
      <c r="J35" s="90">
        <f t="shared" si="15"/>
        <v>0.90000000000000013</v>
      </c>
      <c r="K35" s="90">
        <f t="shared" si="16"/>
        <v>0.2</v>
      </c>
      <c r="L35" s="69"/>
      <c r="M35" s="90">
        <f>IF(C35="","",IF(OR(C35='Parkeernormen Auto'!$A$118,C35='Parkeernormen Auto'!$A$119,C35='Parkeernormen Auto'!$A$120,C35='Parkeernormen Auto'!$A$121,C35='Parkeernormen Auto'!$A$122,C35='Parkeernormen Auto'!$A$123,C35='Parkeernormen Auto'!$A$124,C35='Parkeernormen Auto'!$A$125),VLOOKUP($E$1,'Rekentool KDV &amp; BSO Basisschool'!$O$3:$AK$14,IF(C35='Parkeernormen Auto'!$A$118,'Rekentool KDV &amp; BSO Basisschool'!$S$2,IF(C35='Parkeernormen Auto'!$A$119,'Rekentool KDV &amp; BSO Basisschool'!$Y$2,IF(C35='Parkeernormen Auto'!$A$120,'Rekentool KDV &amp; BSO Basisschool'!$AD$2,IF(C35='Parkeernormen Auto'!$A$121,'Rekentool KDV &amp; BSO Basisschool'!$AI$2,IF(C35='Parkeernormen Auto'!$A$122,'Rekentool KDV &amp; BSO Basisschool'!$T$2,IF(C35='Parkeernormen Auto'!$A$123,'Rekentool KDV &amp; BSO Basisschool'!$Z$2,IF(C35='Parkeernormen Auto'!$A$124,'Rekentool KDV &amp; BSO Basisschool'!$AE$2,IF(C35='Parkeernormen Auto'!$A$125,'Rekentool KDV &amp; BSO Basisschool'!$AJ$2,"")))))))),FALSE),L35*J35))</f>
        <v>0</v>
      </c>
      <c r="N35" s="90">
        <f t="shared" si="17"/>
        <v>0</v>
      </c>
      <c r="O35" s="143"/>
      <c r="P35" s="88"/>
      <c r="Q35" s="72" t="str">
        <f t="shared" si="18"/>
        <v>Veld 1 - Rijwoning Midden - Huur</v>
      </c>
      <c r="R35" s="90">
        <f>IF($C35="","",IF($N35="",IF(VLOOKUP($C35,'Parkeernormen Auto'!$A$2:$Z$130,'Parkeernormen Auto'!S$19,FALSE)="-","-",$M35*VLOOKUP($C35,'Parkeernormen Auto'!$A$2:$Z$130,'Parkeernormen Auto'!S$19,FALSE)),($M35*'Parkeernormen Auto'!S$2)+($N35*'Parkeernormen Auto'!S$3)))</f>
        <v>0</v>
      </c>
      <c r="S35" s="90">
        <f>IF($C35="","",IF($N35="",IF(VLOOKUP($C35,'Parkeernormen Auto'!$A$2:$Z$130,'Parkeernormen Auto'!T$19,FALSE)="-","-",$M35*VLOOKUP($C35,'Parkeernormen Auto'!$A$2:$Z$130,'Parkeernormen Auto'!T$19,FALSE)),($M35*'Parkeernormen Auto'!T$2)+($N35*'Parkeernormen Auto'!T$3)))</f>
        <v>0</v>
      </c>
      <c r="T35" s="90">
        <f>IF($C35="","",IF($N35="",IF(VLOOKUP($C35,'Parkeernormen Auto'!$A$2:$Z$130,'Parkeernormen Auto'!U$19,FALSE)="-","-",$M35*VLOOKUP($C35,'Parkeernormen Auto'!$A$2:$Z$130,'Parkeernormen Auto'!U$19,FALSE)),($M35*'Parkeernormen Auto'!U$2)+($N35*'Parkeernormen Auto'!U$3)))</f>
        <v>0</v>
      </c>
      <c r="U35" s="90">
        <f>IF($C35="","",IF($N35="",IF(VLOOKUP($C35,'Parkeernormen Auto'!$A$2:$Z$130,'Parkeernormen Auto'!V$19,FALSE)="-","-",$M35*VLOOKUP($C35,'Parkeernormen Auto'!$A$2:$Z$130,'Parkeernormen Auto'!V$19,FALSE)),($M35*'Parkeernormen Auto'!V$2)+($N35*'Parkeernormen Auto'!V$3)))</f>
        <v>0</v>
      </c>
      <c r="V35" s="90">
        <f>IF($C35="","",IF($N35="",IF(VLOOKUP($C35,'Parkeernormen Auto'!$A$2:$Z$130,'Parkeernormen Auto'!W$19,FALSE)="-","-",$M35*VLOOKUP($C35,'Parkeernormen Auto'!$A$2:$Z$130,'Parkeernormen Auto'!W$19,FALSE)),($M35*'Parkeernormen Auto'!W$2)+($N35*'Parkeernormen Auto'!W$3)))</f>
        <v>0</v>
      </c>
      <c r="W35" s="90">
        <f>IF($C35="","",IF($N35="",IF(VLOOKUP($C35,'Parkeernormen Auto'!$A$2:$Z$130,'Parkeernormen Auto'!X$19,FALSE)="-","-",$M35*VLOOKUP($C35,'Parkeernormen Auto'!$A$2:$Z$130,'Parkeernormen Auto'!X$19,FALSE)),($M35*'Parkeernormen Auto'!X$2)+($N35*'Parkeernormen Auto'!X$3)))</f>
        <v>0</v>
      </c>
      <c r="X35" s="90">
        <f>IF($C35="","",IF($N35="",IF(VLOOKUP($C35,'Parkeernormen Auto'!$A$2:$Z$130,'Parkeernormen Auto'!Y$19,FALSE)="-","-",$M35*VLOOKUP($C35,'Parkeernormen Auto'!$A$2:$Z$130,'Parkeernormen Auto'!Y$19,FALSE)),($M35*'Parkeernormen Auto'!Y$2)+($N35*'Parkeernormen Auto'!Y$3)))</f>
        <v>0</v>
      </c>
      <c r="Y35" s="91">
        <f>IF($C35="","",IF($N35="",IF(VLOOKUP($C35,'Parkeernormen Auto'!$A$2:$Z$130,'Parkeernormen Auto'!Z$19,FALSE)="-","-",$M35*VLOOKUP($C35,'Parkeernormen Auto'!$A$2:$Z$130,'Parkeernormen Auto'!Z$19,FALSE)),($M35*'Parkeernormen Auto'!Z$2)+($N35*'Parkeernormen Auto'!Z$3)))</f>
        <v>0</v>
      </c>
      <c r="Z35" s="89"/>
      <c r="AA35" s="67"/>
      <c r="AB35" s="64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</row>
    <row r="36" spans="1:44" x14ac:dyDescent="0.5">
      <c r="A36" s="72" t="s">
        <v>18</v>
      </c>
      <c r="B36" s="73">
        <f>VLOOKUP(A36,'Parkeernormen Auto'!$AB$2:$AD$12,2,FALSE)</f>
        <v>7</v>
      </c>
      <c r="C36" s="73" t="s">
        <v>266</v>
      </c>
      <c r="D36" s="81" t="s">
        <v>230</v>
      </c>
      <c r="E36" s="90">
        <f>IF(C36="","",VLOOKUP(C36,'Parkeernormen Auto'!$A$2:$P$130,B36,FALSE))</f>
        <v>0.90000000000000013</v>
      </c>
      <c r="F36" s="90">
        <f>IF(C36="","",IF(F35="","",VLOOKUP(C36,'Parkeernormen Auto'!$A$2:$P$130,B36+1,FALSE)))</f>
        <v>0.2</v>
      </c>
      <c r="G36" s="73" t="str">
        <f>IF(C36="","",VLOOKUP(C36,'Parkeernormen Auto'!$A$2:$B$130,2,FALSE))</f>
        <v>Per woning</v>
      </c>
      <c r="H36" s="68" t="s">
        <v>20</v>
      </c>
      <c r="I36" s="90">
        <f>IF(C36="","",IF(VLOOKUP(H36,'Parkeernormen Auto'!$AF$2:$AG$12,2,)&gt;E36,E36,VLOOKUP(H36,'Parkeernormen Auto'!$AF$2:$AG$12,2,)))</f>
        <v>0</v>
      </c>
      <c r="J36" s="90">
        <f t="shared" si="15"/>
        <v>0.90000000000000013</v>
      </c>
      <c r="K36" s="90">
        <f t="shared" si="16"/>
        <v>0.2</v>
      </c>
      <c r="L36" s="69"/>
      <c r="M36" s="90">
        <f>IF(C36="","",IF(OR(C36='Parkeernormen Auto'!$A$118,C36='Parkeernormen Auto'!$A$119,C36='Parkeernormen Auto'!$A$120,C36='Parkeernormen Auto'!$A$121,C36='Parkeernormen Auto'!$A$122,C36='Parkeernormen Auto'!$A$123,C36='Parkeernormen Auto'!$A$124,C36='Parkeernormen Auto'!$A$125),VLOOKUP($E$1,'Rekentool KDV &amp; BSO Basisschool'!$O$3:$AK$14,IF(C36='Parkeernormen Auto'!$A$118,'Rekentool KDV &amp; BSO Basisschool'!$S$2,IF(C36='Parkeernormen Auto'!$A$119,'Rekentool KDV &amp; BSO Basisschool'!$Y$2,IF(C36='Parkeernormen Auto'!$A$120,'Rekentool KDV &amp; BSO Basisschool'!$AD$2,IF(C36='Parkeernormen Auto'!$A$121,'Rekentool KDV &amp; BSO Basisschool'!$AI$2,IF(C36='Parkeernormen Auto'!$A$122,'Rekentool KDV &amp; BSO Basisschool'!$T$2,IF(C36='Parkeernormen Auto'!$A$123,'Rekentool KDV &amp; BSO Basisschool'!$Z$2,IF(C36='Parkeernormen Auto'!$A$124,'Rekentool KDV &amp; BSO Basisschool'!$AE$2,IF(C36='Parkeernormen Auto'!$A$125,'Rekentool KDV &amp; BSO Basisschool'!$AJ$2,"")))))))),FALSE),L36*J36))</f>
        <v>0</v>
      </c>
      <c r="N36" s="90">
        <f t="shared" si="17"/>
        <v>0</v>
      </c>
      <c r="O36" s="143"/>
      <c r="P36" s="88"/>
      <c r="Q36" s="72" t="str">
        <f t="shared" si="18"/>
        <v>Veld 1 - Rijwoning Sociaal - Huur</v>
      </c>
      <c r="R36" s="90">
        <f>IF($C36="","",IF($N36="",IF(VLOOKUP($C36,'Parkeernormen Auto'!$A$2:$Z$130,'Parkeernormen Auto'!S$19,FALSE)="-","-",$M36*VLOOKUP($C36,'Parkeernormen Auto'!$A$2:$Z$130,'Parkeernormen Auto'!S$19,FALSE)),($M36*'Parkeernormen Auto'!S$2)+($N36*'Parkeernormen Auto'!S$3)))</f>
        <v>0</v>
      </c>
      <c r="S36" s="90">
        <f>IF($C36="","",IF($N36="",IF(VLOOKUP($C36,'Parkeernormen Auto'!$A$2:$Z$130,'Parkeernormen Auto'!T$19,FALSE)="-","-",$M36*VLOOKUP($C36,'Parkeernormen Auto'!$A$2:$Z$130,'Parkeernormen Auto'!T$19,FALSE)),($M36*'Parkeernormen Auto'!T$2)+($N36*'Parkeernormen Auto'!T$3)))</f>
        <v>0</v>
      </c>
      <c r="T36" s="90">
        <f>IF($C36="","",IF($N36="",IF(VLOOKUP($C36,'Parkeernormen Auto'!$A$2:$Z$130,'Parkeernormen Auto'!U$19,FALSE)="-","-",$M36*VLOOKUP($C36,'Parkeernormen Auto'!$A$2:$Z$130,'Parkeernormen Auto'!U$19,FALSE)),($M36*'Parkeernormen Auto'!U$2)+($N36*'Parkeernormen Auto'!U$3)))</f>
        <v>0</v>
      </c>
      <c r="U36" s="90">
        <f>IF($C36="","",IF($N36="",IF(VLOOKUP($C36,'Parkeernormen Auto'!$A$2:$Z$130,'Parkeernormen Auto'!V$19,FALSE)="-","-",$M36*VLOOKUP($C36,'Parkeernormen Auto'!$A$2:$Z$130,'Parkeernormen Auto'!V$19,FALSE)),($M36*'Parkeernormen Auto'!V$2)+($N36*'Parkeernormen Auto'!V$3)))</f>
        <v>0</v>
      </c>
      <c r="V36" s="90">
        <f>IF($C36="","",IF($N36="",IF(VLOOKUP($C36,'Parkeernormen Auto'!$A$2:$Z$130,'Parkeernormen Auto'!W$19,FALSE)="-","-",$M36*VLOOKUP($C36,'Parkeernormen Auto'!$A$2:$Z$130,'Parkeernormen Auto'!W$19,FALSE)),($M36*'Parkeernormen Auto'!W$2)+($N36*'Parkeernormen Auto'!W$3)))</f>
        <v>0</v>
      </c>
      <c r="W36" s="90">
        <f>IF($C36="","",IF($N36="",IF(VLOOKUP($C36,'Parkeernormen Auto'!$A$2:$Z$130,'Parkeernormen Auto'!X$19,FALSE)="-","-",$M36*VLOOKUP($C36,'Parkeernormen Auto'!$A$2:$Z$130,'Parkeernormen Auto'!X$19,FALSE)),($M36*'Parkeernormen Auto'!X$2)+($N36*'Parkeernormen Auto'!X$3)))</f>
        <v>0</v>
      </c>
      <c r="X36" s="90">
        <f>IF($C36="","",IF($N36="",IF(VLOOKUP($C36,'Parkeernormen Auto'!$A$2:$Z$130,'Parkeernormen Auto'!Y$19,FALSE)="-","-",$M36*VLOOKUP($C36,'Parkeernormen Auto'!$A$2:$Z$130,'Parkeernormen Auto'!Y$19,FALSE)),($M36*'Parkeernormen Auto'!Y$2)+($N36*'Parkeernormen Auto'!Y$3)))</f>
        <v>0</v>
      </c>
      <c r="Y36" s="91">
        <f>IF($C36="","",IF($N36="",IF(VLOOKUP($C36,'Parkeernormen Auto'!$A$2:$Z$130,'Parkeernormen Auto'!Z$19,FALSE)="-","-",$M36*VLOOKUP($C36,'Parkeernormen Auto'!$A$2:$Z$130,'Parkeernormen Auto'!Z$19,FALSE)),($M36*'Parkeernormen Auto'!Z$2)+($N36*'Parkeernormen Auto'!Z$3)))</f>
        <v>0</v>
      </c>
      <c r="Z36" s="89"/>
      <c r="AA36" s="67"/>
      <c r="AB36" s="64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</row>
    <row r="37" spans="1:44" x14ac:dyDescent="0.5">
      <c r="A37" s="72" t="s">
        <v>18</v>
      </c>
      <c r="B37" s="73">
        <f>VLOOKUP(A37,'Parkeernormen Auto'!$AB$2:$AD$12,2,FALSE)</f>
        <v>7</v>
      </c>
      <c r="C37" s="73" t="s">
        <v>269</v>
      </c>
      <c r="D37" s="74" t="s">
        <v>19</v>
      </c>
      <c r="E37" s="144">
        <f>IF(C37="","",VLOOKUP(C37,'Parkeernormen Auto'!$A$2:$P$130,B37,FALSE))</f>
        <v>0.8</v>
      </c>
      <c r="F37" s="144">
        <f>IF(C37="","",IF(F36="","",VLOOKUP(C37,'Parkeernormen Auto'!$A$2:$P$130,B37+1,FALSE)))</f>
        <v>0.2</v>
      </c>
      <c r="G37" s="145" t="str">
        <f>IF(C37="","",VLOOKUP(C37,'Parkeernormen Auto'!$A$2:$B$130,2,FALSE))</f>
        <v>Per woning</v>
      </c>
      <c r="H37" s="146" t="s">
        <v>20</v>
      </c>
      <c r="I37" s="144">
        <f>IF(C37="","",IF(VLOOKUP(H37,'Parkeernormen Auto'!$AF$2:$AG$12,2,)&gt;E37,E37,VLOOKUP(H37,'Parkeernormen Auto'!$AF$2:$AG$12,2,)))</f>
        <v>0</v>
      </c>
      <c r="J37" s="144">
        <f t="shared" si="15"/>
        <v>0.8</v>
      </c>
      <c r="K37" s="144">
        <f t="shared" si="16"/>
        <v>0.2</v>
      </c>
      <c r="L37" s="139">
        <v>43</v>
      </c>
      <c r="M37" s="144">
        <f>IF(C37="","",IF(OR(C37='Parkeernormen Auto'!$A$118,C37='Parkeernormen Auto'!$A$119,C37='Parkeernormen Auto'!$A$120,C37='Parkeernormen Auto'!$A$121,C37='Parkeernormen Auto'!$A$122,C37='Parkeernormen Auto'!$A$123,C37='Parkeernormen Auto'!$A$124,C37='Parkeernormen Auto'!$A$125),VLOOKUP($E$1,'Rekentool KDV &amp; BSO Basisschool'!$O$3:$AK$14,IF(C37='Parkeernormen Auto'!$A$118,'Rekentool KDV &amp; BSO Basisschool'!$S$2,IF(C37='Parkeernormen Auto'!$A$119,'Rekentool KDV &amp; BSO Basisschool'!$Y$2,IF(C37='Parkeernormen Auto'!$A$120,'Rekentool KDV &amp; BSO Basisschool'!$AD$2,IF(C37='Parkeernormen Auto'!$A$121,'Rekentool KDV &amp; BSO Basisschool'!$AI$2,IF(C37='Parkeernormen Auto'!$A$122,'Rekentool KDV &amp; BSO Basisschool'!$T$2,IF(C37='Parkeernormen Auto'!$A$123,'Rekentool KDV &amp; BSO Basisschool'!$Z$2,IF(C37='Parkeernormen Auto'!$A$124,'Rekentool KDV &amp; BSO Basisschool'!$AE$2,IF(C37='Parkeernormen Auto'!$A$125,'Rekentool KDV &amp; BSO Basisschool'!$AJ$2,"")))))))),FALSE),L37*J37))</f>
        <v>34.4</v>
      </c>
      <c r="N37" s="144">
        <f t="shared" si="17"/>
        <v>8.6</v>
      </c>
      <c r="O37" s="143"/>
      <c r="P37" s="102"/>
      <c r="Q37" s="72" t="str">
        <f t="shared" si="18"/>
        <v>Veld 1 - Appartementen Midden - Huur</v>
      </c>
      <c r="R37" s="144">
        <f>IF($C37="","",IF($N37="",IF(VLOOKUP($C37,'Parkeernormen Auto'!$A$2:$Z$130,'Parkeernormen Auto'!S$19,FALSE)="-","-",$M37*VLOOKUP($C37,'Parkeernormen Auto'!$A$2:$Z$130,'Parkeernormen Auto'!S$19,FALSE)),($M37)+($N37*'Parkeernormen Auto'!S$3)))</f>
        <v>35.26</v>
      </c>
      <c r="S37" s="144">
        <f>IF($C37="","",IF($N37="",IF(VLOOKUP($C37,'Parkeernormen Auto'!$A$2:$Z$130,'Parkeernormen Auto'!T$19,FALSE)="-","-",$M37*VLOOKUP($C37,'Parkeernormen Auto'!$A$2:$Z$130,'Parkeernormen Auto'!T$19,FALSE)),($M37)+($N37*'Parkeernormen Auto'!T$3)))</f>
        <v>36.119999999999997</v>
      </c>
      <c r="T37" s="144">
        <f>IF($C37="","",IF($N37="",IF(VLOOKUP($C37,'Parkeernormen Auto'!$A$2:$Z$130,'Parkeernormen Auto'!U$19,FALSE)="-","-",$M37*VLOOKUP($C37,'Parkeernormen Auto'!$A$2:$Z$130,'Parkeernormen Auto'!U$19,FALSE)),($M37)+($N37*'Parkeernormen Auto'!U$3)))</f>
        <v>41.28</v>
      </c>
      <c r="U37" s="144">
        <f>IF($C37="","",IF($N37="",IF(VLOOKUP($C37,'Parkeernormen Auto'!$A$2:$Z$130,'Parkeernormen Auto'!V$19,FALSE)="-","-",$M37*VLOOKUP($C37,'Parkeernormen Auto'!$A$2:$Z$130,'Parkeernormen Auto'!V$19,FALSE)),($M37)+($N37*'Parkeernormen Auto'!V$3)))</f>
        <v>34.4</v>
      </c>
      <c r="V37" s="144">
        <f>IF($C37="","",IF($N37="",IF(VLOOKUP($C37,'Parkeernormen Auto'!$A$2:$Z$130,'Parkeernormen Auto'!W$19,FALSE)="-","-",$M37*VLOOKUP($C37,'Parkeernormen Auto'!$A$2:$Z$130,'Parkeernormen Auto'!W$19,FALSE)),($M37)+($N37*'Parkeernormen Auto'!W$3)))</f>
        <v>40.42</v>
      </c>
      <c r="W37" s="144">
        <f>IF($C37="","",IF($N37="",IF(VLOOKUP($C37,'Parkeernormen Auto'!$A$2:$Z$130,'Parkeernormen Auto'!X$19,FALSE)="-","-",$M37*VLOOKUP($C37,'Parkeernormen Auto'!$A$2:$Z$130,'Parkeernormen Auto'!X$19,FALSE)),($M37)+($N37*'Parkeernormen Auto'!X$3)))</f>
        <v>39.559999999999995</v>
      </c>
      <c r="X37" s="144">
        <f>IF($C37="","",IF($N37="",IF(VLOOKUP($C37,'Parkeernormen Auto'!$A$2:$Z$130,'Parkeernormen Auto'!Y$19,FALSE)="-","-",$M37*VLOOKUP($C37,'Parkeernormen Auto'!$A$2:$Z$130,'Parkeernormen Auto'!Y$19,FALSE)),($M37)+($N37*'Parkeernormen Auto'!Y$3)))</f>
        <v>43</v>
      </c>
      <c r="Y37" s="153">
        <f>IF($C37="","",IF($N37="",IF(VLOOKUP($C37,'Parkeernormen Auto'!$A$2:$Z$130,'Parkeernormen Auto'!Z$19,FALSE)="-","-",$M37*VLOOKUP($C37,'Parkeernormen Auto'!$A$2:$Z$130,'Parkeernormen Auto'!Z$19,FALSE)),($M37)+($N37*'Parkeernormen Auto'!Z$3)))</f>
        <v>40.42</v>
      </c>
      <c r="Z37" s="89"/>
      <c r="AA37" s="67"/>
      <c r="AB37" s="64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</row>
    <row r="38" spans="1:44" x14ac:dyDescent="0.5">
      <c r="A38" s="72" t="s">
        <v>18</v>
      </c>
      <c r="B38" s="73">
        <f>VLOOKUP(A38,'Parkeernormen Auto'!$AB$2:$AD$12,2,FALSE)</f>
        <v>7</v>
      </c>
      <c r="C38" s="73" t="s">
        <v>269</v>
      </c>
      <c r="D38" s="75" t="s">
        <v>21</v>
      </c>
      <c r="E38" s="144"/>
      <c r="F38" s="144"/>
      <c r="G38" s="145"/>
      <c r="H38" s="146"/>
      <c r="I38" s="144"/>
      <c r="J38" s="144"/>
      <c r="K38" s="144"/>
      <c r="L38" s="139"/>
      <c r="M38" s="144"/>
      <c r="N38" s="144"/>
      <c r="O38" s="143"/>
      <c r="Q38" s="72" t="str">
        <f t="shared" si="18"/>
        <v>Veld 1 - Appartementen Sociaal - Huur</v>
      </c>
      <c r="R38" s="144"/>
      <c r="S38" s="144">
        <f>IF($C38="","",IF($N38="",IF(VLOOKUP($C38,'Parkeernormen Auto'!$A$2:$Z$130,'Parkeernormen Auto'!T$19,FALSE)="-","-",$M38*VLOOKUP($C38,'Parkeernormen Auto'!$A$2:$Z$130,'Parkeernormen Auto'!T$19,FALSE)),($M38)+($N38*'Parkeernormen Auto'!T$3)))</f>
        <v>0</v>
      </c>
      <c r="T38" s="144">
        <f>IF($C38="","",IF($N38="",IF(VLOOKUP($C38,'Parkeernormen Auto'!$A$2:$Z$130,'Parkeernormen Auto'!U$19,FALSE)="-","-",$M38*VLOOKUP($C38,'Parkeernormen Auto'!$A$2:$Z$130,'Parkeernormen Auto'!U$19,FALSE)),($M38)+($N38*'Parkeernormen Auto'!U$3)))</f>
        <v>0</v>
      </c>
      <c r="U38" s="144">
        <f>IF($C38="","",IF($N38="",IF(VLOOKUP($C38,'Parkeernormen Auto'!$A$2:$Z$130,'Parkeernormen Auto'!V$19,FALSE)="-","-",$M38*VLOOKUP($C38,'Parkeernormen Auto'!$A$2:$Z$130,'Parkeernormen Auto'!V$19,FALSE)),($M38)+($N38*'Parkeernormen Auto'!V$3)))</f>
        <v>0</v>
      </c>
      <c r="V38" s="144">
        <f>IF($C38="","",IF($N38="",IF(VLOOKUP($C38,'Parkeernormen Auto'!$A$2:$Z$130,'Parkeernormen Auto'!W$19,FALSE)="-","-",$M38*VLOOKUP($C38,'Parkeernormen Auto'!$A$2:$Z$130,'Parkeernormen Auto'!W$19,FALSE)),($M38)+($N38*'Parkeernormen Auto'!W$3)))</f>
        <v>0</v>
      </c>
      <c r="W38" s="144">
        <f>IF($C38="","",IF($N38="",IF(VLOOKUP($C38,'Parkeernormen Auto'!$A$2:$Z$130,'Parkeernormen Auto'!X$19,FALSE)="-","-",$M38*VLOOKUP($C38,'Parkeernormen Auto'!$A$2:$Z$130,'Parkeernormen Auto'!X$19,FALSE)),($M38)+($N38*'Parkeernormen Auto'!X$3)))</f>
        <v>0</v>
      </c>
      <c r="X38" s="144">
        <f>IF($C38="","",IF($N38="",IF(VLOOKUP($C38,'Parkeernormen Auto'!$A$2:$Z$130,'Parkeernormen Auto'!Y$19,FALSE)="-","-",$M38*VLOOKUP($C38,'Parkeernormen Auto'!$A$2:$Z$130,'Parkeernormen Auto'!Y$19,FALSE)),($M38)+($N38*'Parkeernormen Auto'!Y$3)))</f>
        <v>0</v>
      </c>
      <c r="Y38" s="153">
        <f>IF($C38="","",IF($N38="",IF(VLOOKUP($C38,'Parkeernormen Auto'!$A$2:$Z$130,'Parkeernormen Auto'!Z$19,FALSE)="-","-",$M38*VLOOKUP($C38,'Parkeernormen Auto'!$A$2:$Z$130,'Parkeernormen Auto'!Z$19,FALSE)),($M38)+($N38*'Parkeernormen Auto'!Z$3)))</f>
        <v>0</v>
      </c>
      <c r="Z38" s="89"/>
      <c r="AA38" s="67"/>
      <c r="AB38" s="64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</row>
    <row r="39" spans="1:44" x14ac:dyDescent="0.5">
      <c r="A39" s="72"/>
      <c r="B39" s="73"/>
      <c r="C39" s="76"/>
      <c r="D39" s="76"/>
      <c r="E39" s="90"/>
      <c r="F39" s="90"/>
      <c r="G39" s="73"/>
      <c r="H39" s="76"/>
      <c r="I39" s="90"/>
      <c r="J39" s="90"/>
      <c r="K39" s="90"/>
      <c r="L39" s="76"/>
      <c r="M39" s="90"/>
      <c r="N39" s="90"/>
      <c r="O39" s="100"/>
      <c r="Q39" s="72"/>
      <c r="R39" s="90"/>
      <c r="S39" s="90"/>
      <c r="T39" s="90"/>
      <c r="U39" s="90"/>
      <c r="V39" s="90"/>
      <c r="W39" s="90"/>
      <c r="X39" s="90"/>
      <c r="Y39" s="91"/>
      <c r="Z39" s="89"/>
      <c r="AA39" s="67"/>
      <c r="AB39" s="64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</row>
    <row r="40" spans="1:44" x14ac:dyDescent="0.5">
      <c r="A40" s="72" t="s">
        <v>18</v>
      </c>
      <c r="B40" s="73">
        <f>VLOOKUP(A40,'Parkeernormen Auto'!$AB$2:$AD$12,2,FALSE)</f>
        <v>7</v>
      </c>
      <c r="C40" s="73" t="s">
        <v>258</v>
      </c>
      <c r="D40" s="77" t="s">
        <v>22</v>
      </c>
      <c r="E40" s="90">
        <f>IF(C40="","",VLOOKUP(C40,'Parkeernormen Auto'!$A$2:$P$130,B40,FALSE))</f>
        <v>1.7</v>
      </c>
      <c r="F40" s="90">
        <f>IF(C40="","",IF(F37="","",VLOOKUP(C40,'Parkeernormen Auto'!$A$2:$P$130,B40+1,FALSE)))</f>
        <v>0.2</v>
      </c>
      <c r="G40" s="73" t="str">
        <f>IF(C40="","",VLOOKUP(C40,'Parkeernormen Auto'!$A$2:$B$130,2,FALSE))</f>
        <v>Per woning</v>
      </c>
      <c r="H40" s="68" t="s">
        <v>20</v>
      </c>
      <c r="I40" s="90">
        <f>IF(C40="","",IF(VLOOKUP(H40,'Parkeernormen Auto'!$AF$2:$AG$12,2,)&gt;E40,E40,VLOOKUP(H40,'Parkeernormen Auto'!$AF$2:$AG$12,2,)))</f>
        <v>0</v>
      </c>
      <c r="J40" s="90">
        <f t="shared" si="15"/>
        <v>1.7</v>
      </c>
      <c r="K40" s="90">
        <f t="shared" si="16"/>
        <v>0.2</v>
      </c>
      <c r="L40" s="69"/>
      <c r="M40" s="90">
        <f>IF(C40="","",IF(OR(C40='Parkeernormen Auto'!$A$118,C40='Parkeernormen Auto'!$A$119,C40='Parkeernormen Auto'!$A$120,C40='Parkeernormen Auto'!$A$121,C40='Parkeernormen Auto'!$A$122,C40='Parkeernormen Auto'!$A$123,C40='Parkeernormen Auto'!$A$124,C40='Parkeernormen Auto'!$A$125),VLOOKUP($E$1,'Rekentool KDV &amp; BSO Basisschool'!$O$3:$AK$14,IF(C40='Parkeernormen Auto'!$A$118,'Rekentool KDV &amp; BSO Basisschool'!$S$2,IF(C40='Parkeernormen Auto'!$A$119,'Rekentool KDV &amp; BSO Basisschool'!$Y$2,IF(C40='Parkeernormen Auto'!$A$120,'Rekentool KDV &amp; BSO Basisschool'!$AD$2,IF(C40='Parkeernormen Auto'!$A$121,'Rekentool KDV &amp; BSO Basisschool'!$AI$2,IF(C40='Parkeernormen Auto'!$A$122,'Rekentool KDV &amp; BSO Basisschool'!$T$2,IF(C40='Parkeernormen Auto'!$A$123,'Rekentool KDV &amp; BSO Basisschool'!$Z$2,IF(C40='Parkeernormen Auto'!$A$124,'Rekentool KDV &amp; BSO Basisschool'!$AE$2,IF(C40='Parkeernormen Auto'!$A$125,'Rekentool KDV &amp; BSO Basisschool'!$AJ$2,"")))))))),FALSE),L40*J40))</f>
        <v>0</v>
      </c>
      <c r="N40" s="90">
        <f t="shared" si="17"/>
        <v>0</v>
      </c>
      <c r="O40" s="142">
        <v>241</v>
      </c>
      <c r="P40" s="101"/>
      <c r="Q40" s="72" t="str">
        <f t="shared" si="18"/>
        <v>Veld 2 - Rijwoning Vrije Sector Midden - Koop</v>
      </c>
      <c r="R40" s="90">
        <f>IF($C40="","",IF($N40="",IF(VLOOKUP($C40,'Parkeernormen Auto'!$A$2:$Z$130,'Parkeernormen Auto'!S$19,FALSE)="-","-",$M40*VLOOKUP($C40,'Parkeernormen Auto'!$A$2:$Z$130,'Parkeernormen Auto'!S$19,FALSE)),($M40)+($N40*'Parkeernormen Auto'!S$3)))</f>
        <v>0</v>
      </c>
      <c r="S40" s="90">
        <f>IF($C40="","",IF($N40="",IF(VLOOKUP($C40,'Parkeernormen Auto'!$A$2:$Z$130,'Parkeernormen Auto'!T$19,FALSE)="-","-",$M40*VLOOKUP($C40,'Parkeernormen Auto'!$A$2:$Z$130,'Parkeernormen Auto'!T$19,FALSE)),($M40)+($N40*'Parkeernormen Auto'!T$3)))</f>
        <v>0</v>
      </c>
      <c r="T40" s="90">
        <f>IF($C40="","",IF($N40="",IF(VLOOKUP($C40,'Parkeernormen Auto'!$A$2:$Z$130,'Parkeernormen Auto'!U$19,FALSE)="-","-",$M40*VLOOKUP($C40,'Parkeernormen Auto'!$A$2:$Z$130,'Parkeernormen Auto'!U$19,FALSE)),($M40)+($N40*'Parkeernormen Auto'!U$3)))</f>
        <v>0</v>
      </c>
      <c r="U40" s="90">
        <f>IF($C40="","",IF($N40="",IF(VLOOKUP($C40,'Parkeernormen Auto'!$A$2:$Z$130,'Parkeernormen Auto'!V$19,FALSE)="-","-",$M40*VLOOKUP($C40,'Parkeernormen Auto'!$A$2:$Z$130,'Parkeernormen Auto'!V$19,FALSE)),($M40)+($N40*'Parkeernormen Auto'!V$3)))</f>
        <v>0</v>
      </c>
      <c r="V40" s="90">
        <f>IF($C40="","",IF($N40="",IF(VLOOKUP($C40,'Parkeernormen Auto'!$A$2:$Z$130,'Parkeernormen Auto'!W$19,FALSE)="-","-",$M40*VLOOKUP($C40,'Parkeernormen Auto'!$A$2:$Z$130,'Parkeernormen Auto'!W$19,FALSE)),($M40)+($N40*'Parkeernormen Auto'!W$3)))</f>
        <v>0</v>
      </c>
      <c r="W40" s="90">
        <f>IF($C40="","",IF($N40="",IF(VLOOKUP($C40,'Parkeernormen Auto'!$A$2:$Z$130,'Parkeernormen Auto'!X$19,FALSE)="-","-",$M40*VLOOKUP($C40,'Parkeernormen Auto'!$A$2:$Z$130,'Parkeernormen Auto'!X$19,FALSE)),($M40)+($N40*'Parkeernormen Auto'!X$3)))</f>
        <v>0</v>
      </c>
      <c r="X40" s="90">
        <f>IF($C40="","",IF($N40="",IF(VLOOKUP($C40,'Parkeernormen Auto'!$A$2:$Z$130,'Parkeernormen Auto'!Y$19,FALSE)="-","-",$M40*VLOOKUP($C40,'Parkeernormen Auto'!$A$2:$Z$130,'Parkeernormen Auto'!Y$19,FALSE)),($M40)+($N40*'Parkeernormen Auto'!Y$3)))</f>
        <v>0</v>
      </c>
      <c r="Y40" s="91">
        <f>IF($C40="","",IF($N40="",IF(VLOOKUP($C40,'Parkeernormen Auto'!$A$2:$Z$130,'Parkeernormen Auto'!Z$19,FALSE)="-","-",$M40*VLOOKUP($C40,'Parkeernormen Auto'!$A$2:$Z$130,'Parkeernormen Auto'!Z$19,FALSE)),($M40)+($N40*'Parkeernormen Auto'!Z$3)))</f>
        <v>0</v>
      </c>
      <c r="Z40" s="89"/>
      <c r="AA40" s="67"/>
      <c r="AB40" s="64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</row>
    <row r="41" spans="1:44" x14ac:dyDescent="0.5">
      <c r="A41" s="72" t="s">
        <v>18</v>
      </c>
      <c r="B41" s="73">
        <f>VLOOKUP(A41,'Parkeernormen Auto'!$AB$2:$AD$12,2,FALSE)</f>
        <v>7</v>
      </c>
      <c r="C41" s="73" t="s">
        <v>259</v>
      </c>
      <c r="D41" s="78" t="s">
        <v>24</v>
      </c>
      <c r="E41" s="90">
        <f>IF(C41="","",VLOOKUP(C41,'Parkeernormen Auto'!$A$2:$P$130,B41,FALSE))</f>
        <v>1.6</v>
      </c>
      <c r="F41" s="90">
        <f>IF(C41="","",IF(F40="","",VLOOKUP(C41,'Parkeernormen Auto'!$A$2:$P$130,B41+1,FALSE)))</f>
        <v>0.2</v>
      </c>
      <c r="G41" s="73" t="str">
        <f>IF(C41="","",VLOOKUP(C41,'Parkeernormen Auto'!$A$2:$B$130,2,FALSE))</f>
        <v>Per woning</v>
      </c>
      <c r="H41" s="68" t="s">
        <v>20</v>
      </c>
      <c r="I41" s="90">
        <f>IF(C41="","",IF(VLOOKUP(H41,'Parkeernormen Auto'!$AF$2:$AG$12,2,)&gt;E41,E41,VLOOKUP(H41,'Parkeernormen Auto'!$AF$2:$AG$12,2,)))</f>
        <v>0</v>
      </c>
      <c r="J41" s="90">
        <f t="shared" si="15"/>
        <v>1.6</v>
      </c>
      <c r="K41" s="90">
        <f t="shared" si="16"/>
        <v>0.2</v>
      </c>
      <c r="L41" s="69"/>
      <c r="M41" s="90">
        <f>IF(C41="","",IF(OR(C41='Parkeernormen Auto'!$A$118,C41='Parkeernormen Auto'!$A$119,C41='Parkeernormen Auto'!$A$120,C41='Parkeernormen Auto'!$A$121,C41='Parkeernormen Auto'!$A$122,C41='Parkeernormen Auto'!$A$123,C41='Parkeernormen Auto'!$A$124,C41='Parkeernormen Auto'!$A$125),VLOOKUP($E$1,'Rekentool KDV &amp; BSO Basisschool'!$O$3:$AK$14,IF(C41='Parkeernormen Auto'!$A$118,'Rekentool KDV &amp; BSO Basisschool'!$S$2,IF(C41='Parkeernormen Auto'!$A$119,'Rekentool KDV &amp; BSO Basisschool'!$Y$2,IF(C41='Parkeernormen Auto'!$A$120,'Rekentool KDV &amp; BSO Basisschool'!$AD$2,IF(C41='Parkeernormen Auto'!$A$121,'Rekentool KDV &amp; BSO Basisschool'!$AI$2,IF(C41='Parkeernormen Auto'!$A$122,'Rekentool KDV &amp; BSO Basisschool'!$T$2,IF(C41='Parkeernormen Auto'!$A$123,'Rekentool KDV &amp; BSO Basisschool'!$Z$2,IF(C41='Parkeernormen Auto'!$A$124,'Rekentool KDV &amp; BSO Basisschool'!$AE$2,IF(C41='Parkeernormen Auto'!$A$125,'Rekentool KDV &amp; BSO Basisschool'!$AJ$2,"")))))))),FALSE),L41*J41))</f>
        <v>0</v>
      </c>
      <c r="N41" s="90">
        <f t="shared" si="17"/>
        <v>0</v>
      </c>
      <c r="O41" s="143"/>
      <c r="P41" s="88"/>
      <c r="Q41" s="72" t="str">
        <f t="shared" si="18"/>
        <v>Veld 2 - Rijwoning Vrije Sector Klein - Koop</v>
      </c>
      <c r="R41" s="90">
        <f>IF($C41="","",IF($N41="",IF(VLOOKUP($C41,'Parkeernormen Auto'!$A$2:$Z$130,'Parkeernormen Auto'!S$19,FALSE)="-","-",$M41*VLOOKUP($C41,'Parkeernormen Auto'!$A$2:$Z$130,'Parkeernormen Auto'!S$19,FALSE)),($M41)+($N41*'Parkeernormen Auto'!S$3)))</f>
        <v>0</v>
      </c>
      <c r="S41" s="90">
        <f>IF($C41="","",IF($N41="",IF(VLOOKUP($C41,'Parkeernormen Auto'!$A$2:$Z$130,'Parkeernormen Auto'!T$19,FALSE)="-","-",$M41*VLOOKUP($C41,'Parkeernormen Auto'!$A$2:$Z$130,'Parkeernormen Auto'!T$19,FALSE)),($M41)+($N41*'Parkeernormen Auto'!T$3)))</f>
        <v>0</v>
      </c>
      <c r="T41" s="90">
        <f>IF($C41="","",IF($N41="",IF(VLOOKUP($C41,'Parkeernormen Auto'!$A$2:$Z$130,'Parkeernormen Auto'!U$19,FALSE)="-","-",$M41*VLOOKUP($C41,'Parkeernormen Auto'!$A$2:$Z$130,'Parkeernormen Auto'!U$19,FALSE)),($M41)+($N41*'Parkeernormen Auto'!U$3)))</f>
        <v>0</v>
      </c>
      <c r="U41" s="90">
        <f>IF($C41="","",IF($N41="",IF(VLOOKUP($C41,'Parkeernormen Auto'!$A$2:$Z$130,'Parkeernormen Auto'!V$19,FALSE)="-","-",$M41*VLOOKUP($C41,'Parkeernormen Auto'!$A$2:$Z$130,'Parkeernormen Auto'!V$19,FALSE)),($M41)+($N41*'Parkeernormen Auto'!V$3)))</f>
        <v>0</v>
      </c>
      <c r="V41" s="90">
        <f>IF($C41="","",IF($N41="",IF(VLOOKUP($C41,'Parkeernormen Auto'!$A$2:$Z$130,'Parkeernormen Auto'!W$19,FALSE)="-","-",$M41*VLOOKUP($C41,'Parkeernormen Auto'!$A$2:$Z$130,'Parkeernormen Auto'!W$19,FALSE)),($M41)+($N41*'Parkeernormen Auto'!W$3)))</f>
        <v>0</v>
      </c>
      <c r="W41" s="90">
        <f>IF($C41="","",IF($N41="",IF(VLOOKUP($C41,'Parkeernormen Auto'!$A$2:$Z$130,'Parkeernormen Auto'!X$19,FALSE)="-","-",$M41*VLOOKUP($C41,'Parkeernormen Auto'!$A$2:$Z$130,'Parkeernormen Auto'!X$19,FALSE)),($M41)+($N41*'Parkeernormen Auto'!X$3)))</f>
        <v>0</v>
      </c>
      <c r="X41" s="90">
        <f>IF($C41="","",IF($N41="",IF(VLOOKUP($C41,'Parkeernormen Auto'!$A$2:$Z$130,'Parkeernormen Auto'!Y$19,FALSE)="-","-",$M41*VLOOKUP($C41,'Parkeernormen Auto'!$A$2:$Z$130,'Parkeernormen Auto'!Y$19,FALSE)),($M41)+($N41*'Parkeernormen Auto'!Y$3)))</f>
        <v>0</v>
      </c>
      <c r="Y41" s="91">
        <f>IF($C41="","",IF($N41="",IF(VLOOKUP($C41,'Parkeernormen Auto'!$A$2:$Z$130,'Parkeernormen Auto'!Z$19,FALSE)="-","-",$M41*VLOOKUP($C41,'Parkeernormen Auto'!$A$2:$Z$130,'Parkeernormen Auto'!Z$19,FALSE)),($M41)+($N41*'Parkeernormen Auto'!Z$3)))</f>
        <v>0</v>
      </c>
      <c r="Z41" s="89"/>
      <c r="AA41" s="67"/>
      <c r="AB41" s="64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</row>
    <row r="42" spans="1:44" x14ac:dyDescent="0.5">
      <c r="A42" s="72" t="s">
        <v>18</v>
      </c>
      <c r="B42" s="73">
        <f>VLOOKUP(A42,'Parkeernormen Auto'!$AB$2:$AD$12,2,FALSE)</f>
        <v>7</v>
      </c>
      <c r="C42" s="73" t="s">
        <v>260</v>
      </c>
      <c r="D42" s="79" t="s">
        <v>25</v>
      </c>
      <c r="E42" s="90">
        <f>IF(C42="","",VLOOKUP(C42,'Parkeernormen Auto'!$A$2:$P$130,B42,FALSE))</f>
        <v>1.2</v>
      </c>
      <c r="F42" s="90">
        <f>IF(C42="","",IF(F41="","",VLOOKUP(C42,'Parkeernormen Auto'!$A$2:$P$130,B42+1,FALSE)))</f>
        <v>0.2</v>
      </c>
      <c r="G42" s="73" t="str">
        <f>IF(C42="","",VLOOKUP(C42,'Parkeernormen Auto'!$A$2:$B$130,2,FALSE))</f>
        <v>Per woning</v>
      </c>
      <c r="H42" s="68" t="s">
        <v>20</v>
      </c>
      <c r="I42" s="90">
        <f>IF(C42="","",IF(VLOOKUP(H42,'Parkeernormen Auto'!$AF$2:$AG$12,2,)&gt;E42,E42,VLOOKUP(H42,'Parkeernormen Auto'!$AF$2:$AG$12,2,)))</f>
        <v>0</v>
      </c>
      <c r="J42" s="90">
        <f t="shared" si="15"/>
        <v>1.2</v>
      </c>
      <c r="K42" s="90">
        <f t="shared" si="16"/>
        <v>0.2</v>
      </c>
      <c r="L42" s="69"/>
      <c r="M42" s="90">
        <f>IF(C42="","",IF(OR(C42='Parkeernormen Auto'!$A$118,C42='Parkeernormen Auto'!$A$119,C42='Parkeernormen Auto'!$A$120,C42='Parkeernormen Auto'!$A$121,C42='Parkeernormen Auto'!$A$122,C42='Parkeernormen Auto'!$A$123,C42='Parkeernormen Auto'!$A$124,C42='Parkeernormen Auto'!$A$125),VLOOKUP($E$1,'Rekentool KDV &amp; BSO Basisschool'!$O$3:$AK$14,IF(C42='Parkeernormen Auto'!$A$118,'Rekentool KDV &amp; BSO Basisschool'!$S$2,IF(C42='Parkeernormen Auto'!$A$119,'Rekentool KDV &amp; BSO Basisschool'!$Y$2,IF(C42='Parkeernormen Auto'!$A$120,'Rekentool KDV &amp; BSO Basisschool'!$AD$2,IF(C42='Parkeernormen Auto'!$A$121,'Rekentool KDV &amp; BSO Basisschool'!$AI$2,IF(C42='Parkeernormen Auto'!$A$122,'Rekentool KDV &amp; BSO Basisschool'!$T$2,IF(C42='Parkeernormen Auto'!$A$123,'Rekentool KDV &amp; BSO Basisschool'!$Z$2,IF(C42='Parkeernormen Auto'!$A$124,'Rekentool KDV &amp; BSO Basisschool'!$AE$2,IF(C42='Parkeernormen Auto'!$A$125,'Rekentool KDV &amp; BSO Basisschool'!$AJ$2,"")))))))),FALSE),L42*J42))</f>
        <v>0</v>
      </c>
      <c r="N42" s="90">
        <f t="shared" si="17"/>
        <v>0</v>
      </c>
      <c r="O42" s="143"/>
      <c r="P42" s="88"/>
      <c r="Q42" s="72" t="str">
        <f t="shared" si="18"/>
        <v>Veld 2 - Rijwoning Betaalbaar - Koop</v>
      </c>
      <c r="R42" s="90">
        <f>IF($C42="","",IF($N42="",IF(VLOOKUP($C42,'Parkeernormen Auto'!$A$2:$Z$130,'Parkeernormen Auto'!S$19,FALSE)="-","-",$M42*VLOOKUP($C42,'Parkeernormen Auto'!$A$2:$Z$130,'Parkeernormen Auto'!S$19,FALSE)),($M42)+($N42*'Parkeernormen Auto'!S$3)))</f>
        <v>0</v>
      </c>
      <c r="S42" s="90">
        <f>IF($C42="","",IF($N42="",IF(VLOOKUP($C42,'Parkeernormen Auto'!$A$2:$Z$130,'Parkeernormen Auto'!T$19,FALSE)="-","-",$M42*VLOOKUP($C42,'Parkeernormen Auto'!$A$2:$Z$130,'Parkeernormen Auto'!T$19,FALSE)),($M42)+($N42*'Parkeernormen Auto'!T$3)))</f>
        <v>0</v>
      </c>
      <c r="T42" s="90">
        <f>IF($C42="","",IF($N42="",IF(VLOOKUP($C42,'Parkeernormen Auto'!$A$2:$Z$130,'Parkeernormen Auto'!U$19,FALSE)="-","-",$M42*VLOOKUP($C42,'Parkeernormen Auto'!$A$2:$Z$130,'Parkeernormen Auto'!U$19,FALSE)),($M42)+($N42*'Parkeernormen Auto'!U$3)))</f>
        <v>0</v>
      </c>
      <c r="U42" s="90">
        <f>IF($C42="","",IF($N42="",IF(VLOOKUP($C42,'Parkeernormen Auto'!$A$2:$Z$130,'Parkeernormen Auto'!V$19,FALSE)="-","-",$M42*VLOOKUP($C42,'Parkeernormen Auto'!$A$2:$Z$130,'Parkeernormen Auto'!V$19,FALSE)),($M42)+($N42*'Parkeernormen Auto'!V$3)))</f>
        <v>0</v>
      </c>
      <c r="V42" s="90">
        <f>IF($C42="","",IF($N42="",IF(VLOOKUP($C42,'Parkeernormen Auto'!$A$2:$Z$130,'Parkeernormen Auto'!W$19,FALSE)="-","-",$M42*VLOOKUP($C42,'Parkeernormen Auto'!$A$2:$Z$130,'Parkeernormen Auto'!W$19,FALSE)),($M42)+($N42*'Parkeernormen Auto'!W$3)))</f>
        <v>0</v>
      </c>
      <c r="W42" s="90">
        <f>IF($C42="","",IF($N42="",IF(VLOOKUP($C42,'Parkeernormen Auto'!$A$2:$Z$130,'Parkeernormen Auto'!X$19,FALSE)="-","-",$M42*VLOOKUP($C42,'Parkeernormen Auto'!$A$2:$Z$130,'Parkeernormen Auto'!X$19,FALSE)),($M42)+($N42*'Parkeernormen Auto'!X$3)))</f>
        <v>0</v>
      </c>
      <c r="X42" s="90">
        <f>IF($C42="","",IF($N42="",IF(VLOOKUP($C42,'Parkeernormen Auto'!$A$2:$Z$130,'Parkeernormen Auto'!Y$19,FALSE)="-","-",$M42*VLOOKUP($C42,'Parkeernormen Auto'!$A$2:$Z$130,'Parkeernormen Auto'!Y$19,FALSE)),($M42)+($N42*'Parkeernormen Auto'!Y$3)))</f>
        <v>0</v>
      </c>
      <c r="Y42" s="91">
        <f>IF($C42="","",IF($N42="",IF(VLOOKUP($C42,'Parkeernormen Auto'!$A$2:$Z$130,'Parkeernormen Auto'!Z$19,FALSE)="-","-",$M42*VLOOKUP($C42,'Parkeernormen Auto'!$A$2:$Z$130,'Parkeernormen Auto'!Z$19,FALSE)),($M42)+($N42*'Parkeernormen Auto'!Z$3)))</f>
        <v>0</v>
      </c>
      <c r="Z42" s="89"/>
      <c r="AA42" s="67"/>
      <c r="AB42" s="64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</row>
    <row r="43" spans="1:44" x14ac:dyDescent="0.5">
      <c r="A43" s="72" t="s">
        <v>18</v>
      </c>
      <c r="B43" s="73">
        <f>VLOOKUP(A43,'Parkeernormen Auto'!$AB$2:$AD$12,2,FALSE)</f>
        <v>7</v>
      </c>
      <c r="C43" s="73" t="s">
        <v>266</v>
      </c>
      <c r="D43" s="80" t="s">
        <v>26</v>
      </c>
      <c r="E43" s="90">
        <f>IF(C43="","",VLOOKUP(C43,'Parkeernormen Auto'!$A$2:$P$130,B43,FALSE))</f>
        <v>0.90000000000000013</v>
      </c>
      <c r="F43" s="90">
        <f>IF(C43="","",IF(F42="","",VLOOKUP(C43,'Parkeernormen Auto'!$A$2:$P$130,B43+1,FALSE)))</f>
        <v>0.2</v>
      </c>
      <c r="G43" s="73" t="str">
        <f>IF(C43="","",VLOOKUP(C43,'Parkeernormen Auto'!$A$2:$B$130,2,FALSE))</f>
        <v>Per woning</v>
      </c>
      <c r="H43" s="68" t="s">
        <v>20</v>
      </c>
      <c r="I43" s="90">
        <f>IF(C43="","",IF(VLOOKUP(H43,'Parkeernormen Auto'!$AF$2:$AG$12,2,)&gt;E43,E43,VLOOKUP(H43,'Parkeernormen Auto'!$AF$2:$AG$12,2,)))</f>
        <v>0</v>
      </c>
      <c r="J43" s="90">
        <f t="shared" si="15"/>
        <v>0.90000000000000013</v>
      </c>
      <c r="K43" s="90">
        <f t="shared" si="16"/>
        <v>0.2</v>
      </c>
      <c r="L43" s="69"/>
      <c r="M43" s="90">
        <f>IF(C43="","",IF(OR(C43='Parkeernormen Auto'!$A$118,C43='Parkeernormen Auto'!$A$119,C43='Parkeernormen Auto'!$A$120,C43='Parkeernormen Auto'!$A$121,C43='Parkeernormen Auto'!$A$122,C43='Parkeernormen Auto'!$A$123,C43='Parkeernormen Auto'!$A$124,C43='Parkeernormen Auto'!$A$125),VLOOKUP($E$1,'Rekentool KDV &amp; BSO Basisschool'!$O$3:$AK$14,IF(C43='Parkeernormen Auto'!$A$118,'Rekentool KDV &amp; BSO Basisschool'!$S$2,IF(C43='Parkeernormen Auto'!$A$119,'Rekentool KDV &amp; BSO Basisschool'!$Y$2,IF(C43='Parkeernormen Auto'!$A$120,'Rekentool KDV &amp; BSO Basisschool'!$AD$2,IF(C43='Parkeernormen Auto'!$A$121,'Rekentool KDV &amp; BSO Basisschool'!$AI$2,IF(C43='Parkeernormen Auto'!$A$122,'Rekentool KDV &amp; BSO Basisschool'!$T$2,IF(C43='Parkeernormen Auto'!$A$123,'Rekentool KDV &amp; BSO Basisschool'!$Z$2,IF(C43='Parkeernormen Auto'!$A$124,'Rekentool KDV &amp; BSO Basisschool'!$AE$2,IF(C43='Parkeernormen Auto'!$A$125,'Rekentool KDV &amp; BSO Basisschool'!$AJ$2,"")))))))),FALSE),L43*J43))</f>
        <v>0</v>
      </c>
      <c r="N43" s="90">
        <f t="shared" si="17"/>
        <v>0</v>
      </c>
      <c r="O43" s="143"/>
      <c r="P43" s="88"/>
      <c r="Q43" s="72" t="str">
        <f t="shared" si="18"/>
        <v>Veld 2 - Rijwoning Midden - Huur</v>
      </c>
      <c r="R43" s="90">
        <f>IF($C43="","",IF($N43="",IF(VLOOKUP($C43,'Parkeernormen Auto'!$A$2:$Z$130,'Parkeernormen Auto'!S$19,FALSE)="-","-",$M43*VLOOKUP($C43,'Parkeernormen Auto'!$A$2:$Z$130,'Parkeernormen Auto'!S$19,FALSE)),($M43)+($N43*'Parkeernormen Auto'!S$3)))</f>
        <v>0</v>
      </c>
      <c r="S43" s="90">
        <f>IF($C43="","",IF($N43="",IF(VLOOKUP($C43,'Parkeernormen Auto'!$A$2:$Z$130,'Parkeernormen Auto'!T$19,FALSE)="-","-",$M43*VLOOKUP($C43,'Parkeernormen Auto'!$A$2:$Z$130,'Parkeernormen Auto'!T$19,FALSE)),($M43)+($N43*'Parkeernormen Auto'!T$3)))</f>
        <v>0</v>
      </c>
      <c r="T43" s="90">
        <f>IF($C43="","",IF($N43="",IF(VLOOKUP($C43,'Parkeernormen Auto'!$A$2:$Z$130,'Parkeernormen Auto'!U$19,FALSE)="-","-",$M43*VLOOKUP($C43,'Parkeernormen Auto'!$A$2:$Z$130,'Parkeernormen Auto'!U$19,FALSE)),($M43)+($N43*'Parkeernormen Auto'!U$3)))</f>
        <v>0</v>
      </c>
      <c r="U43" s="90">
        <f>IF($C43="","",IF($N43="",IF(VLOOKUP($C43,'Parkeernormen Auto'!$A$2:$Z$130,'Parkeernormen Auto'!V$19,FALSE)="-","-",$M43*VLOOKUP($C43,'Parkeernormen Auto'!$A$2:$Z$130,'Parkeernormen Auto'!V$19,FALSE)),($M43)+($N43*'Parkeernormen Auto'!V$3)))</f>
        <v>0</v>
      </c>
      <c r="V43" s="90">
        <f>IF($C43="","",IF($N43="",IF(VLOOKUP($C43,'Parkeernormen Auto'!$A$2:$Z$130,'Parkeernormen Auto'!W$19,FALSE)="-","-",$M43*VLOOKUP($C43,'Parkeernormen Auto'!$A$2:$Z$130,'Parkeernormen Auto'!W$19,FALSE)),($M43)+($N43*'Parkeernormen Auto'!W$3)))</f>
        <v>0</v>
      </c>
      <c r="W43" s="90">
        <f>IF($C43="","",IF($N43="",IF(VLOOKUP($C43,'Parkeernormen Auto'!$A$2:$Z$130,'Parkeernormen Auto'!X$19,FALSE)="-","-",$M43*VLOOKUP($C43,'Parkeernormen Auto'!$A$2:$Z$130,'Parkeernormen Auto'!X$19,FALSE)),($M43)+($N43*'Parkeernormen Auto'!X$3)))</f>
        <v>0</v>
      </c>
      <c r="X43" s="90">
        <f>IF($C43="","",IF($N43="",IF(VLOOKUP($C43,'Parkeernormen Auto'!$A$2:$Z$130,'Parkeernormen Auto'!Y$19,FALSE)="-","-",$M43*VLOOKUP($C43,'Parkeernormen Auto'!$A$2:$Z$130,'Parkeernormen Auto'!Y$19,FALSE)),($M43)+($N43*'Parkeernormen Auto'!Y$3)))</f>
        <v>0</v>
      </c>
      <c r="Y43" s="91">
        <f>IF($C43="","",IF($N43="",IF(VLOOKUP($C43,'Parkeernormen Auto'!$A$2:$Z$130,'Parkeernormen Auto'!Z$19,FALSE)="-","-",$M43*VLOOKUP($C43,'Parkeernormen Auto'!$A$2:$Z$130,'Parkeernormen Auto'!Z$19,FALSE)),($M43)+($N43*'Parkeernormen Auto'!Z$3)))</f>
        <v>0</v>
      </c>
      <c r="Z43" s="89"/>
      <c r="AA43" s="67"/>
      <c r="AB43" s="64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</row>
    <row r="44" spans="1:44" x14ac:dyDescent="0.5">
      <c r="A44" s="72" t="s">
        <v>18</v>
      </c>
      <c r="B44" s="73">
        <f>VLOOKUP(A44,'Parkeernormen Auto'!$AB$2:$AD$12,2,FALSE)</f>
        <v>7</v>
      </c>
      <c r="C44" s="73" t="s">
        <v>266</v>
      </c>
      <c r="D44" s="81" t="s">
        <v>27</v>
      </c>
      <c r="E44" s="90">
        <f>IF(C44="","",VLOOKUP(C44,'Parkeernormen Auto'!$A$2:$P$130,B44,FALSE))</f>
        <v>0.90000000000000013</v>
      </c>
      <c r="F44" s="90">
        <f>IF(C44="","",IF(F43="","",VLOOKUP(C44,'Parkeernormen Auto'!$A$2:$P$130,B44+1,FALSE)))</f>
        <v>0.2</v>
      </c>
      <c r="G44" s="73" t="str">
        <f>IF(C44="","",VLOOKUP(C44,'Parkeernormen Auto'!$A$2:$B$130,2,FALSE))</f>
        <v>Per woning</v>
      </c>
      <c r="H44" s="68" t="s">
        <v>20</v>
      </c>
      <c r="I44" s="90">
        <f>IF(C44="","",IF(VLOOKUP(H44,'Parkeernormen Auto'!$AF$2:$AG$12,2,)&gt;E44,E44,VLOOKUP(H44,'Parkeernormen Auto'!$AF$2:$AG$12,2,)))</f>
        <v>0</v>
      </c>
      <c r="J44" s="90">
        <f t="shared" si="15"/>
        <v>0.90000000000000013</v>
      </c>
      <c r="K44" s="90">
        <f t="shared" si="16"/>
        <v>0.2</v>
      </c>
      <c r="L44" s="69"/>
      <c r="M44" s="90">
        <f>IF(C44="","",IF(OR(C44='Parkeernormen Auto'!$A$118,C44='Parkeernormen Auto'!$A$119,C44='Parkeernormen Auto'!$A$120,C44='Parkeernormen Auto'!$A$121,C44='Parkeernormen Auto'!$A$122,C44='Parkeernormen Auto'!$A$123,C44='Parkeernormen Auto'!$A$124,C44='Parkeernormen Auto'!$A$125),VLOOKUP($E$1,'Rekentool KDV &amp; BSO Basisschool'!$O$3:$AK$14,IF(C44='Parkeernormen Auto'!$A$118,'Rekentool KDV &amp; BSO Basisschool'!$S$2,IF(C44='Parkeernormen Auto'!$A$119,'Rekentool KDV &amp; BSO Basisschool'!$Y$2,IF(C44='Parkeernormen Auto'!$A$120,'Rekentool KDV &amp; BSO Basisschool'!$AD$2,IF(C44='Parkeernormen Auto'!$A$121,'Rekentool KDV &amp; BSO Basisschool'!$AI$2,IF(C44='Parkeernormen Auto'!$A$122,'Rekentool KDV &amp; BSO Basisschool'!$T$2,IF(C44='Parkeernormen Auto'!$A$123,'Rekentool KDV &amp; BSO Basisschool'!$Z$2,IF(C44='Parkeernormen Auto'!$A$124,'Rekentool KDV &amp; BSO Basisschool'!$AE$2,IF(C44='Parkeernormen Auto'!$A$125,'Rekentool KDV &amp; BSO Basisschool'!$AJ$2,"")))))))),FALSE),L44*J44))</f>
        <v>0</v>
      </c>
      <c r="N44" s="90">
        <f t="shared" si="17"/>
        <v>0</v>
      </c>
      <c r="O44" s="143"/>
      <c r="P44" s="88"/>
      <c r="Q44" s="72" t="str">
        <f t="shared" si="18"/>
        <v>Veld 2 - Rijwoning Sociaal - Huur</v>
      </c>
      <c r="R44" s="90">
        <f>IF($C44="","",IF($N44="",IF(VLOOKUP($C44,'Parkeernormen Auto'!$A$2:$Z$130,'Parkeernormen Auto'!S$19,FALSE)="-","-",$M44*VLOOKUP($C44,'Parkeernormen Auto'!$A$2:$Z$130,'Parkeernormen Auto'!S$19,FALSE)),($M44)+($N44*'Parkeernormen Auto'!S$3)))</f>
        <v>0</v>
      </c>
      <c r="S44" s="90">
        <f>IF($C44="","",IF($N44="",IF(VLOOKUP($C44,'Parkeernormen Auto'!$A$2:$Z$130,'Parkeernormen Auto'!T$19,FALSE)="-","-",$M44*VLOOKUP($C44,'Parkeernormen Auto'!$A$2:$Z$130,'Parkeernormen Auto'!T$19,FALSE)),($M44)+($N44*'Parkeernormen Auto'!T$3)))</f>
        <v>0</v>
      </c>
      <c r="T44" s="90">
        <f>IF($C44="","",IF($N44="",IF(VLOOKUP($C44,'Parkeernormen Auto'!$A$2:$Z$130,'Parkeernormen Auto'!U$19,FALSE)="-","-",$M44*VLOOKUP($C44,'Parkeernormen Auto'!$A$2:$Z$130,'Parkeernormen Auto'!U$19,FALSE)),($M44)+($N44*'Parkeernormen Auto'!U$3)))</f>
        <v>0</v>
      </c>
      <c r="U44" s="90">
        <f>IF($C44="","",IF($N44="",IF(VLOOKUP($C44,'Parkeernormen Auto'!$A$2:$Z$130,'Parkeernormen Auto'!V$19,FALSE)="-","-",$M44*VLOOKUP($C44,'Parkeernormen Auto'!$A$2:$Z$130,'Parkeernormen Auto'!V$19,FALSE)),($M44)+($N44*'Parkeernormen Auto'!V$3)))</f>
        <v>0</v>
      </c>
      <c r="V44" s="90">
        <f>IF($C44="","",IF($N44="",IF(VLOOKUP($C44,'Parkeernormen Auto'!$A$2:$Z$130,'Parkeernormen Auto'!W$19,FALSE)="-","-",$M44*VLOOKUP($C44,'Parkeernormen Auto'!$A$2:$Z$130,'Parkeernormen Auto'!W$19,FALSE)),($M44)+($N44*'Parkeernormen Auto'!W$3)))</f>
        <v>0</v>
      </c>
      <c r="W44" s="90">
        <f>IF($C44="","",IF($N44="",IF(VLOOKUP($C44,'Parkeernormen Auto'!$A$2:$Z$130,'Parkeernormen Auto'!X$19,FALSE)="-","-",$M44*VLOOKUP($C44,'Parkeernormen Auto'!$A$2:$Z$130,'Parkeernormen Auto'!X$19,FALSE)),($M44)+($N44*'Parkeernormen Auto'!X$3)))</f>
        <v>0</v>
      </c>
      <c r="X44" s="90">
        <f>IF($C44="","",IF($N44="",IF(VLOOKUP($C44,'Parkeernormen Auto'!$A$2:$Z$130,'Parkeernormen Auto'!Y$19,FALSE)="-","-",$M44*VLOOKUP($C44,'Parkeernormen Auto'!$A$2:$Z$130,'Parkeernormen Auto'!Y$19,FALSE)),($M44)+($N44*'Parkeernormen Auto'!Y$3)))</f>
        <v>0</v>
      </c>
      <c r="Y44" s="91">
        <f>IF($C44="","",IF($N44="",IF(VLOOKUP($C44,'Parkeernormen Auto'!$A$2:$Z$130,'Parkeernormen Auto'!Z$19,FALSE)="-","-",$M44*VLOOKUP($C44,'Parkeernormen Auto'!$A$2:$Z$130,'Parkeernormen Auto'!Z$19,FALSE)),($M44)+($N44*'Parkeernormen Auto'!Z$3)))</f>
        <v>0</v>
      </c>
      <c r="Z44" s="89"/>
      <c r="AA44" s="67"/>
      <c r="AB44" s="64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</row>
    <row r="45" spans="1:44" x14ac:dyDescent="0.5">
      <c r="A45" s="72" t="s">
        <v>18</v>
      </c>
      <c r="B45" s="73">
        <f>VLOOKUP(A45,'Parkeernormen Auto'!$AB$2:$AD$12,2,FALSE)</f>
        <v>7</v>
      </c>
      <c r="C45" s="73" t="s">
        <v>269</v>
      </c>
      <c r="D45" s="74" t="s">
        <v>28</v>
      </c>
      <c r="E45" s="144">
        <f>IF(C45="","",VLOOKUP(C45,'Parkeernormen Auto'!$A$2:$P$130,B45,FALSE))</f>
        <v>0.8</v>
      </c>
      <c r="F45" s="144">
        <f>IF(C45="","",IF(F44="","",VLOOKUP(C45,'Parkeernormen Auto'!$A$2:$P$130,B45+1,FALSE)))</f>
        <v>0.2</v>
      </c>
      <c r="G45" s="145" t="str">
        <f>IF(C45="","",VLOOKUP(C45,'Parkeernormen Auto'!$A$2:$B$130,2,FALSE))</f>
        <v>Per woning</v>
      </c>
      <c r="H45" s="146" t="s">
        <v>20</v>
      </c>
      <c r="I45" s="144">
        <f>IF(C45="","",IF(VLOOKUP(H45,'Parkeernormen Auto'!$AF$2:$AG$12,2,)&gt;E45,E45,VLOOKUP(H45,'Parkeernormen Auto'!$AF$2:$AG$12,2,)))</f>
        <v>0</v>
      </c>
      <c r="J45" s="144">
        <f t="shared" si="15"/>
        <v>0.8</v>
      </c>
      <c r="K45" s="144">
        <f t="shared" si="16"/>
        <v>0.2</v>
      </c>
      <c r="L45" s="139">
        <f>30+30</f>
        <v>60</v>
      </c>
      <c r="M45" s="144">
        <f>IF(C45="","",IF(OR(C45='Parkeernormen Auto'!$A$118,C45='Parkeernormen Auto'!$A$119,C45='Parkeernormen Auto'!$A$120,C45='Parkeernormen Auto'!$A$121,C45='Parkeernormen Auto'!$A$122,C45='Parkeernormen Auto'!$A$123,C45='Parkeernormen Auto'!$A$124,C45='Parkeernormen Auto'!$A$125),VLOOKUP($E$1,'Rekentool KDV &amp; BSO Basisschool'!$O$3:$AK$14,IF(C45='Parkeernormen Auto'!$A$118,'Rekentool KDV &amp; BSO Basisschool'!$S$2,IF(C45='Parkeernormen Auto'!$A$119,'Rekentool KDV &amp; BSO Basisschool'!$Y$2,IF(C45='Parkeernormen Auto'!$A$120,'Rekentool KDV &amp; BSO Basisschool'!$AD$2,IF(C45='Parkeernormen Auto'!$A$121,'Rekentool KDV &amp; BSO Basisschool'!$AI$2,IF(C45='Parkeernormen Auto'!$A$122,'Rekentool KDV &amp; BSO Basisschool'!$T$2,IF(C45='Parkeernormen Auto'!$A$123,'Rekentool KDV &amp; BSO Basisschool'!$Z$2,IF(C45='Parkeernormen Auto'!$A$124,'Rekentool KDV &amp; BSO Basisschool'!$AE$2,IF(C45='Parkeernormen Auto'!$A$125,'Rekentool KDV &amp; BSO Basisschool'!$AJ$2,"")))))))),FALSE),L45*J45))</f>
        <v>48</v>
      </c>
      <c r="N45" s="144">
        <f t="shared" si="17"/>
        <v>12</v>
      </c>
      <c r="O45" s="143"/>
      <c r="P45" s="102"/>
      <c r="Q45" s="72" t="str">
        <f t="shared" si="18"/>
        <v>Veld 2 - Appartementen Midden - Huur</v>
      </c>
      <c r="R45" s="144">
        <f>IF($C45="","",IF($N45="",IF(VLOOKUP($C45,'Parkeernormen Auto'!$A$2:$Z$130,'Parkeernormen Auto'!S$19,FALSE)="-","-",$M45*VLOOKUP($C45,'Parkeernormen Auto'!$A$2:$Z$130,'Parkeernormen Auto'!S$19,FALSE)),($M45)+($N45*'Parkeernormen Auto'!S$3)))</f>
        <v>49.2</v>
      </c>
      <c r="S45" s="144">
        <f>IF($C45="","",IF($N45="",IF(VLOOKUP($C45,'Parkeernormen Auto'!$A$2:$Z$130,'Parkeernormen Auto'!T$19,FALSE)="-","-",$M45*VLOOKUP($C45,'Parkeernormen Auto'!$A$2:$Z$130,'Parkeernormen Auto'!T$19,FALSE)),($M45)+($N45*'Parkeernormen Auto'!T$3)))</f>
        <v>50.4</v>
      </c>
      <c r="T45" s="144">
        <f>IF($C45="","",IF($N45="",IF(VLOOKUP($C45,'Parkeernormen Auto'!$A$2:$Z$130,'Parkeernormen Auto'!U$19,FALSE)="-","-",$M45*VLOOKUP($C45,'Parkeernormen Auto'!$A$2:$Z$130,'Parkeernormen Auto'!U$19,FALSE)),($M45)+($N45*'Parkeernormen Auto'!U$3)))</f>
        <v>57.6</v>
      </c>
      <c r="U45" s="144">
        <f>IF($C45="","",IF($N45="",IF(VLOOKUP($C45,'Parkeernormen Auto'!$A$2:$Z$130,'Parkeernormen Auto'!V$19,FALSE)="-","-",$M45*VLOOKUP($C45,'Parkeernormen Auto'!$A$2:$Z$130,'Parkeernormen Auto'!V$19,FALSE)),($M45)+($N45*'Parkeernormen Auto'!V$3)))</f>
        <v>48</v>
      </c>
      <c r="V45" s="144">
        <f>IF($C45="","",IF($N45="",IF(VLOOKUP($C45,'Parkeernormen Auto'!$A$2:$Z$130,'Parkeernormen Auto'!W$19,FALSE)="-","-",$M45*VLOOKUP($C45,'Parkeernormen Auto'!$A$2:$Z$130,'Parkeernormen Auto'!W$19,FALSE)),($M45)+($N45*'Parkeernormen Auto'!W$3)))</f>
        <v>56.4</v>
      </c>
      <c r="W45" s="144">
        <f>IF($C45="","",IF($N45="",IF(VLOOKUP($C45,'Parkeernormen Auto'!$A$2:$Z$130,'Parkeernormen Auto'!X$19,FALSE)="-","-",$M45*VLOOKUP($C45,'Parkeernormen Auto'!$A$2:$Z$130,'Parkeernormen Auto'!X$19,FALSE)),($M45)+($N45*'Parkeernormen Auto'!X$3)))</f>
        <v>55.2</v>
      </c>
      <c r="X45" s="144">
        <f>IF($C45="","",IF($N45="",IF(VLOOKUP($C45,'Parkeernormen Auto'!$A$2:$Z$130,'Parkeernormen Auto'!Y$19,FALSE)="-","-",$M45*VLOOKUP($C45,'Parkeernormen Auto'!$A$2:$Z$130,'Parkeernormen Auto'!Y$19,FALSE)),($M45)+($N45*'Parkeernormen Auto'!Y$3)))</f>
        <v>60</v>
      </c>
      <c r="Y45" s="153">
        <f>IF($C45="","",IF($N45="",IF(VLOOKUP($C45,'Parkeernormen Auto'!$A$2:$Z$130,'Parkeernormen Auto'!Z$19,FALSE)="-","-",$M45*VLOOKUP($C45,'Parkeernormen Auto'!$A$2:$Z$130,'Parkeernormen Auto'!Z$19,FALSE)),($M45)+($N45*'Parkeernormen Auto'!Z$3)))</f>
        <v>56.4</v>
      </c>
      <c r="Z45" s="89"/>
      <c r="AA45" s="67"/>
      <c r="AB45" s="64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</row>
    <row r="46" spans="1:44" x14ac:dyDescent="0.5">
      <c r="A46" s="72" t="s">
        <v>18</v>
      </c>
      <c r="B46" s="73">
        <f>VLOOKUP(A46,'Parkeernormen Auto'!$AB$2:$AD$12,2,FALSE)</f>
        <v>7</v>
      </c>
      <c r="C46" s="73" t="s">
        <v>269</v>
      </c>
      <c r="D46" s="75" t="s">
        <v>29</v>
      </c>
      <c r="E46" s="144"/>
      <c r="F46" s="144"/>
      <c r="G46" s="145"/>
      <c r="H46" s="146"/>
      <c r="I46" s="144"/>
      <c r="J46" s="144"/>
      <c r="K46" s="144"/>
      <c r="L46" s="139"/>
      <c r="M46" s="144"/>
      <c r="N46" s="144"/>
      <c r="O46" s="143"/>
      <c r="P46" s="103"/>
      <c r="Q46" s="72" t="str">
        <f t="shared" si="18"/>
        <v>Veld 2 - Appartementen Sociaal - Huur</v>
      </c>
      <c r="R46" s="144"/>
      <c r="S46" s="144">
        <f>IF($C46="","",IF($N46="",IF(VLOOKUP($C46,'Parkeernormen Auto'!$A$2:$Z$130,'Parkeernormen Auto'!T$19,FALSE)="-","-",$M46*VLOOKUP($C46,'Parkeernormen Auto'!$A$2:$Z$130,'Parkeernormen Auto'!T$19,FALSE)),($M46)+($N46*'Parkeernormen Auto'!T$3)))</f>
        <v>0</v>
      </c>
      <c r="T46" s="144">
        <f>IF($C46="","",IF($N46="",IF(VLOOKUP($C46,'Parkeernormen Auto'!$A$2:$Z$130,'Parkeernormen Auto'!U$19,FALSE)="-","-",$M46*VLOOKUP($C46,'Parkeernormen Auto'!$A$2:$Z$130,'Parkeernormen Auto'!U$19,FALSE)),($M46)+($N46*'Parkeernormen Auto'!U$3)))</f>
        <v>0</v>
      </c>
      <c r="U46" s="144">
        <f>IF($C46="","",IF($N46="",IF(VLOOKUP($C46,'Parkeernormen Auto'!$A$2:$Z$130,'Parkeernormen Auto'!V$19,FALSE)="-","-",$M46*VLOOKUP($C46,'Parkeernormen Auto'!$A$2:$Z$130,'Parkeernormen Auto'!V$19,FALSE)),($M46)+($N46*'Parkeernormen Auto'!V$3)))</f>
        <v>0</v>
      </c>
      <c r="V46" s="144">
        <f>IF($C46="","",IF($N46="",IF(VLOOKUP($C46,'Parkeernormen Auto'!$A$2:$Z$130,'Parkeernormen Auto'!W$19,FALSE)="-","-",$M46*VLOOKUP($C46,'Parkeernormen Auto'!$A$2:$Z$130,'Parkeernormen Auto'!W$19,FALSE)),($M46)+($N46*'Parkeernormen Auto'!W$3)))</f>
        <v>0</v>
      </c>
      <c r="W46" s="144">
        <f>IF($C46="","",IF($N46="",IF(VLOOKUP($C46,'Parkeernormen Auto'!$A$2:$Z$130,'Parkeernormen Auto'!X$19,FALSE)="-","-",$M46*VLOOKUP($C46,'Parkeernormen Auto'!$A$2:$Z$130,'Parkeernormen Auto'!X$19,FALSE)),($M46)+($N46*'Parkeernormen Auto'!X$3)))</f>
        <v>0</v>
      </c>
      <c r="X46" s="144">
        <f>IF($C46="","",IF($N46="",IF(VLOOKUP($C46,'Parkeernormen Auto'!$A$2:$Z$130,'Parkeernormen Auto'!Y$19,FALSE)="-","-",$M46*VLOOKUP($C46,'Parkeernormen Auto'!$A$2:$Z$130,'Parkeernormen Auto'!Y$19,FALSE)),($M46)+($N46*'Parkeernormen Auto'!Y$3)))</f>
        <v>0</v>
      </c>
      <c r="Y46" s="153">
        <f>IF($C46="","",IF($N46="",IF(VLOOKUP($C46,'Parkeernormen Auto'!$A$2:$Z$130,'Parkeernormen Auto'!Z$19,FALSE)="-","-",$M46*VLOOKUP($C46,'Parkeernormen Auto'!$A$2:$Z$130,'Parkeernormen Auto'!Z$19,FALSE)),($M46)+($N46*'Parkeernormen Auto'!Z$3)))</f>
        <v>0</v>
      </c>
      <c r="Z46" s="89"/>
      <c r="AA46" s="67"/>
      <c r="AB46" s="64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</row>
    <row r="47" spans="1:44" x14ac:dyDescent="0.5">
      <c r="A47" s="72"/>
      <c r="B47" s="73"/>
      <c r="C47" s="76"/>
      <c r="D47" s="76"/>
      <c r="E47" s="90"/>
      <c r="F47" s="90"/>
      <c r="G47" s="73"/>
      <c r="H47" s="76"/>
      <c r="I47" s="90"/>
      <c r="J47" s="90"/>
      <c r="K47" s="90"/>
      <c r="L47" s="76"/>
      <c r="M47" s="90"/>
      <c r="N47" s="90"/>
      <c r="O47" s="100"/>
      <c r="P47" s="76"/>
      <c r="Q47" s="72"/>
      <c r="R47" s="90"/>
      <c r="S47" s="90"/>
      <c r="T47" s="90"/>
      <c r="U47" s="90"/>
      <c r="V47" s="90"/>
      <c r="W47" s="90"/>
      <c r="X47" s="90"/>
      <c r="Y47" s="91"/>
      <c r="Z47" s="89"/>
      <c r="AA47" s="67"/>
      <c r="AB47" s="64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</row>
    <row r="48" spans="1:44" x14ac:dyDescent="0.5">
      <c r="A48" s="72" t="s">
        <v>18</v>
      </c>
      <c r="B48" s="73">
        <f>VLOOKUP(A48,'Parkeernormen Auto'!$AB$2:$AD$12,2,FALSE)</f>
        <v>7</v>
      </c>
      <c r="C48" s="73" t="s">
        <v>258</v>
      </c>
      <c r="D48" s="77" t="s">
        <v>30</v>
      </c>
      <c r="E48" s="90">
        <f>IF(C48="","",VLOOKUP(C48,'Parkeernormen Auto'!$A$2:$P$130,B48,FALSE))</f>
        <v>1.7</v>
      </c>
      <c r="F48" s="90">
        <f>IF(C48="","",IF(F45="","",VLOOKUP(C48,'Parkeernormen Auto'!$A$2:$P$130,B48+1,FALSE)))</f>
        <v>0.2</v>
      </c>
      <c r="G48" s="73" t="str">
        <f>IF(C48="","",VLOOKUP(C48,'Parkeernormen Auto'!$A$2:$B$130,2,FALSE))</f>
        <v>Per woning</v>
      </c>
      <c r="H48" s="68" t="s">
        <v>20</v>
      </c>
      <c r="I48" s="90">
        <f>IF(C48="","",IF(VLOOKUP(H48,'Parkeernormen Auto'!$AF$2:$AG$12,2,)&gt;E48,E48,VLOOKUP(H48,'Parkeernormen Auto'!$AF$2:$AG$12,2,)))</f>
        <v>0</v>
      </c>
      <c r="J48" s="90">
        <f t="shared" si="15"/>
        <v>1.7</v>
      </c>
      <c r="K48" s="90">
        <f t="shared" si="16"/>
        <v>0.2</v>
      </c>
      <c r="L48" s="69"/>
      <c r="M48" s="90">
        <f>IF(C48="","",IF(OR(C48='Parkeernormen Auto'!$A$118,C48='Parkeernormen Auto'!$A$119,C48='Parkeernormen Auto'!$A$120,C48='Parkeernormen Auto'!$A$121,C48='Parkeernormen Auto'!$A$122,C48='Parkeernormen Auto'!$A$123,C48='Parkeernormen Auto'!$A$124,C48='Parkeernormen Auto'!$A$125),VLOOKUP($E$1,'Rekentool KDV &amp; BSO Basisschool'!$O$3:$AK$14,IF(C48='Parkeernormen Auto'!$A$118,'Rekentool KDV &amp; BSO Basisschool'!$S$2,IF(C48='Parkeernormen Auto'!$A$119,'Rekentool KDV &amp; BSO Basisschool'!$Y$2,IF(C48='Parkeernormen Auto'!$A$120,'Rekentool KDV &amp; BSO Basisschool'!$AD$2,IF(C48='Parkeernormen Auto'!$A$121,'Rekentool KDV &amp; BSO Basisschool'!$AI$2,IF(C48='Parkeernormen Auto'!$A$122,'Rekentool KDV &amp; BSO Basisschool'!$T$2,IF(C48='Parkeernormen Auto'!$A$123,'Rekentool KDV &amp; BSO Basisschool'!$Z$2,IF(C48='Parkeernormen Auto'!$A$124,'Rekentool KDV &amp; BSO Basisschool'!$AE$2,IF(C48='Parkeernormen Auto'!$A$125,'Rekentool KDV &amp; BSO Basisschool'!$AJ$2,"")))))))),FALSE),L48*J48))</f>
        <v>0</v>
      </c>
      <c r="N48" s="90">
        <f t="shared" si="17"/>
        <v>0</v>
      </c>
      <c r="O48" s="142">
        <v>86</v>
      </c>
      <c r="P48" s="88"/>
      <c r="Q48" s="72" t="str">
        <f t="shared" si="18"/>
        <v>Veld 3 - Rijwoning Vrije Sector Midden - Koop</v>
      </c>
      <c r="R48" s="90">
        <f>IF($C48="","",IF($N48="",IF(VLOOKUP($C48,'Parkeernormen Auto'!$A$2:$Z$130,'Parkeernormen Auto'!S$19,FALSE)="-","-",$M48*VLOOKUP($C48,'Parkeernormen Auto'!$A$2:$Z$130,'Parkeernormen Auto'!S$19,FALSE)),($M48)+($N48*'Parkeernormen Auto'!S$3)))</f>
        <v>0</v>
      </c>
      <c r="S48" s="90">
        <f>IF($C48="","",IF($N48="",IF(VLOOKUP($C48,'Parkeernormen Auto'!$A$2:$Z$130,'Parkeernormen Auto'!T$19,FALSE)="-","-",$M48*VLOOKUP($C48,'Parkeernormen Auto'!$A$2:$Z$130,'Parkeernormen Auto'!T$19,FALSE)),($M48)+($N48*'Parkeernormen Auto'!T$3)))</f>
        <v>0</v>
      </c>
      <c r="T48" s="90">
        <f>IF($C48="","",IF($N48="",IF(VLOOKUP($C48,'Parkeernormen Auto'!$A$2:$Z$130,'Parkeernormen Auto'!U$19,FALSE)="-","-",$M48*VLOOKUP($C48,'Parkeernormen Auto'!$A$2:$Z$130,'Parkeernormen Auto'!U$19,FALSE)),($M48)+($N48*'Parkeernormen Auto'!U$3)))</f>
        <v>0</v>
      </c>
      <c r="U48" s="90">
        <f>IF($C48="","",IF($N48="",IF(VLOOKUP($C48,'Parkeernormen Auto'!$A$2:$Z$130,'Parkeernormen Auto'!V$19,FALSE)="-","-",$M48*VLOOKUP($C48,'Parkeernormen Auto'!$A$2:$Z$130,'Parkeernormen Auto'!V$19,FALSE)),($M48)+($N48*'Parkeernormen Auto'!V$3)))</f>
        <v>0</v>
      </c>
      <c r="V48" s="90">
        <f>IF($C48="","",IF($N48="",IF(VLOOKUP($C48,'Parkeernormen Auto'!$A$2:$Z$130,'Parkeernormen Auto'!W$19,FALSE)="-","-",$M48*VLOOKUP($C48,'Parkeernormen Auto'!$A$2:$Z$130,'Parkeernormen Auto'!W$19,FALSE)),($M48)+($N48*'Parkeernormen Auto'!W$3)))</f>
        <v>0</v>
      </c>
      <c r="W48" s="90">
        <f>IF($C48="","",IF($N48="",IF(VLOOKUP($C48,'Parkeernormen Auto'!$A$2:$Z$130,'Parkeernormen Auto'!X$19,FALSE)="-","-",$M48*VLOOKUP($C48,'Parkeernormen Auto'!$A$2:$Z$130,'Parkeernormen Auto'!X$19,FALSE)),($M48)+($N48*'Parkeernormen Auto'!X$3)))</f>
        <v>0</v>
      </c>
      <c r="X48" s="90">
        <f>IF($C48="","",IF($N48="",IF(VLOOKUP($C48,'Parkeernormen Auto'!$A$2:$Z$130,'Parkeernormen Auto'!Y$19,FALSE)="-","-",$M48*VLOOKUP($C48,'Parkeernormen Auto'!$A$2:$Z$130,'Parkeernormen Auto'!Y$19,FALSE)),($M48)+($N48*'Parkeernormen Auto'!Y$3)))</f>
        <v>0</v>
      </c>
      <c r="Y48" s="91">
        <f>IF($C48="","",IF($N48="",IF(VLOOKUP($C48,'Parkeernormen Auto'!$A$2:$Z$130,'Parkeernormen Auto'!Z$19,FALSE)="-","-",$M48*VLOOKUP($C48,'Parkeernormen Auto'!$A$2:$Z$130,'Parkeernormen Auto'!Z$19,FALSE)),($M48)+($N48*'Parkeernormen Auto'!Z$3)))</f>
        <v>0</v>
      </c>
      <c r="Z48" s="89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</row>
    <row r="49" spans="1:44" x14ac:dyDescent="0.5">
      <c r="A49" s="72" t="s">
        <v>18</v>
      </c>
      <c r="B49" s="73">
        <f>VLOOKUP(A49,'Parkeernormen Auto'!$AB$2:$AD$12,2,FALSE)</f>
        <v>7</v>
      </c>
      <c r="C49" s="73" t="s">
        <v>259</v>
      </c>
      <c r="D49" s="78" t="s">
        <v>31</v>
      </c>
      <c r="E49" s="90">
        <f>IF(C49="","",VLOOKUP(C49,'Parkeernormen Auto'!$A$2:$P$130,B49,FALSE))</f>
        <v>1.6</v>
      </c>
      <c r="F49" s="90">
        <f>IF(C49="","",IF(F48="","",VLOOKUP(C49,'Parkeernormen Auto'!$A$2:$P$130,B49+1,FALSE)))</f>
        <v>0.2</v>
      </c>
      <c r="G49" s="73" t="str">
        <f>IF(C49="","",VLOOKUP(C49,'Parkeernormen Auto'!$A$2:$B$130,2,FALSE))</f>
        <v>Per woning</v>
      </c>
      <c r="H49" s="68" t="s">
        <v>20</v>
      </c>
      <c r="I49" s="90">
        <f>IF(C49="","",IF(VLOOKUP(H49,'Parkeernormen Auto'!$AF$2:$AG$12,2,)&gt;E49,E49,VLOOKUP(H49,'Parkeernormen Auto'!$AF$2:$AG$12,2,)))</f>
        <v>0</v>
      </c>
      <c r="J49" s="90">
        <f t="shared" si="15"/>
        <v>1.6</v>
      </c>
      <c r="K49" s="90">
        <f t="shared" si="16"/>
        <v>0.2</v>
      </c>
      <c r="L49" s="69"/>
      <c r="M49" s="90">
        <f>IF(C49="","",IF(OR(C49='Parkeernormen Auto'!$A$118,C49='Parkeernormen Auto'!$A$119,C49='Parkeernormen Auto'!$A$120,C49='Parkeernormen Auto'!$A$121,C49='Parkeernormen Auto'!$A$122,C49='Parkeernormen Auto'!$A$123,C49='Parkeernormen Auto'!$A$124,C49='Parkeernormen Auto'!$A$125),VLOOKUP($E$1,'Rekentool KDV &amp; BSO Basisschool'!$O$3:$AK$14,IF(C49='Parkeernormen Auto'!$A$118,'Rekentool KDV &amp; BSO Basisschool'!$S$2,IF(C49='Parkeernormen Auto'!$A$119,'Rekentool KDV &amp; BSO Basisschool'!$Y$2,IF(C49='Parkeernormen Auto'!$A$120,'Rekentool KDV &amp; BSO Basisschool'!$AD$2,IF(C49='Parkeernormen Auto'!$A$121,'Rekentool KDV &amp; BSO Basisschool'!$AI$2,IF(C49='Parkeernormen Auto'!$A$122,'Rekentool KDV &amp; BSO Basisschool'!$T$2,IF(C49='Parkeernormen Auto'!$A$123,'Rekentool KDV &amp; BSO Basisschool'!$Z$2,IF(C49='Parkeernormen Auto'!$A$124,'Rekentool KDV &amp; BSO Basisschool'!$AE$2,IF(C49='Parkeernormen Auto'!$A$125,'Rekentool KDV &amp; BSO Basisschool'!$AJ$2,"")))))))),FALSE),L49*J49))</f>
        <v>0</v>
      </c>
      <c r="N49" s="90">
        <f t="shared" si="17"/>
        <v>0</v>
      </c>
      <c r="O49" s="143"/>
      <c r="P49" s="88"/>
      <c r="Q49" s="72" t="str">
        <f t="shared" si="18"/>
        <v>Veld 3 - Rijwoning Vrije Sector Klein - Koop</v>
      </c>
      <c r="R49" s="90">
        <f>IF($C49="","",IF($N49="",IF(VLOOKUP($C49,'Parkeernormen Auto'!$A$2:$Z$130,'Parkeernormen Auto'!S$19,FALSE)="-","-",$M49*VLOOKUP($C49,'Parkeernormen Auto'!$A$2:$Z$130,'Parkeernormen Auto'!S$19,FALSE)),($M49)+($N49*'Parkeernormen Auto'!S$3)))</f>
        <v>0</v>
      </c>
      <c r="S49" s="90">
        <f>IF($C49="","",IF($N49="",IF(VLOOKUP($C49,'Parkeernormen Auto'!$A$2:$Z$130,'Parkeernormen Auto'!T$19,FALSE)="-","-",$M49*VLOOKUP($C49,'Parkeernormen Auto'!$A$2:$Z$130,'Parkeernormen Auto'!T$19,FALSE)),($M49)+($N49*'Parkeernormen Auto'!T$3)))</f>
        <v>0</v>
      </c>
      <c r="T49" s="90">
        <f>IF($C49="","",IF($N49="",IF(VLOOKUP($C49,'Parkeernormen Auto'!$A$2:$Z$130,'Parkeernormen Auto'!U$19,FALSE)="-","-",$M49*VLOOKUP($C49,'Parkeernormen Auto'!$A$2:$Z$130,'Parkeernormen Auto'!U$19,FALSE)),($M49)+($N49*'Parkeernormen Auto'!U$3)))</f>
        <v>0</v>
      </c>
      <c r="U49" s="90">
        <f>IF($C49="","",IF($N49="",IF(VLOOKUP($C49,'Parkeernormen Auto'!$A$2:$Z$130,'Parkeernormen Auto'!V$19,FALSE)="-","-",$M49*VLOOKUP($C49,'Parkeernormen Auto'!$A$2:$Z$130,'Parkeernormen Auto'!V$19,FALSE)),($M49)+($N49*'Parkeernormen Auto'!V$3)))</f>
        <v>0</v>
      </c>
      <c r="V49" s="90">
        <f>IF($C49="","",IF($N49="",IF(VLOOKUP($C49,'Parkeernormen Auto'!$A$2:$Z$130,'Parkeernormen Auto'!W$19,FALSE)="-","-",$M49*VLOOKUP($C49,'Parkeernormen Auto'!$A$2:$Z$130,'Parkeernormen Auto'!W$19,FALSE)),($M49)+($N49*'Parkeernormen Auto'!W$3)))</f>
        <v>0</v>
      </c>
      <c r="W49" s="90">
        <f>IF($C49="","",IF($N49="",IF(VLOOKUP($C49,'Parkeernormen Auto'!$A$2:$Z$130,'Parkeernormen Auto'!X$19,FALSE)="-","-",$M49*VLOOKUP($C49,'Parkeernormen Auto'!$A$2:$Z$130,'Parkeernormen Auto'!X$19,FALSE)),($M49)+($N49*'Parkeernormen Auto'!X$3)))</f>
        <v>0</v>
      </c>
      <c r="X49" s="90">
        <f>IF($C49="","",IF($N49="",IF(VLOOKUP($C49,'Parkeernormen Auto'!$A$2:$Z$130,'Parkeernormen Auto'!Y$19,FALSE)="-","-",$M49*VLOOKUP($C49,'Parkeernormen Auto'!$A$2:$Z$130,'Parkeernormen Auto'!Y$19,FALSE)),($M49)+($N49*'Parkeernormen Auto'!Y$3)))</f>
        <v>0</v>
      </c>
      <c r="Y49" s="91">
        <f>IF($C49="","",IF($N49="",IF(VLOOKUP($C49,'Parkeernormen Auto'!$A$2:$Z$130,'Parkeernormen Auto'!Z$19,FALSE)="-","-",$M49*VLOOKUP($C49,'Parkeernormen Auto'!$A$2:$Z$130,'Parkeernormen Auto'!Z$19,FALSE)),($M49)+($N49*'Parkeernormen Auto'!Z$3)))</f>
        <v>0</v>
      </c>
      <c r="Z49" s="89"/>
      <c r="AA49" s="67"/>
      <c r="AB49" s="64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</row>
    <row r="50" spans="1:44" x14ac:dyDescent="0.5">
      <c r="A50" s="72" t="s">
        <v>18</v>
      </c>
      <c r="B50" s="73">
        <f>VLOOKUP(A50,'Parkeernormen Auto'!$AB$2:$AD$12,2,FALSE)</f>
        <v>7</v>
      </c>
      <c r="C50" s="73" t="s">
        <v>260</v>
      </c>
      <c r="D50" s="79" t="s">
        <v>32</v>
      </c>
      <c r="E50" s="90">
        <f>IF(C50="","",VLOOKUP(C50,'Parkeernormen Auto'!$A$2:$P$130,B50,FALSE))</f>
        <v>1.2</v>
      </c>
      <c r="F50" s="90">
        <f>IF(C50="","",IF(F49="","",VLOOKUP(C50,'Parkeernormen Auto'!$A$2:$P$130,B50+1,FALSE)))</f>
        <v>0.2</v>
      </c>
      <c r="G50" s="73" t="str">
        <f>IF(C50="","",VLOOKUP(C50,'Parkeernormen Auto'!$A$2:$B$130,2,FALSE))</f>
        <v>Per woning</v>
      </c>
      <c r="H50" s="68" t="s">
        <v>20</v>
      </c>
      <c r="I50" s="90">
        <f>IF(C50="","",IF(VLOOKUP(H50,'Parkeernormen Auto'!$AF$2:$AG$12,2,)&gt;E50,E50,VLOOKUP(H50,'Parkeernormen Auto'!$AF$2:$AG$12,2,)))</f>
        <v>0</v>
      </c>
      <c r="J50" s="90">
        <f t="shared" si="15"/>
        <v>1.2</v>
      </c>
      <c r="K50" s="90">
        <f t="shared" si="16"/>
        <v>0.2</v>
      </c>
      <c r="L50" s="69"/>
      <c r="M50" s="90">
        <f>IF(C50="","",IF(OR(C50='Parkeernormen Auto'!$A$118,C50='Parkeernormen Auto'!$A$119,C50='Parkeernormen Auto'!$A$120,C50='Parkeernormen Auto'!$A$121,C50='Parkeernormen Auto'!$A$122,C50='Parkeernormen Auto'!$A$123,C50='Parkeernormen Auto'!$A$124,C50='Parkeernormen Auto'!$A$125),VLOOKUP($E$1,'Rekentool KDV &amp; BSO Basisschool'!$O$3:$AK$14,IF(C50='Parkeernormen Auto'!$A$118,'Rekentool KDV &amp; BSO Basisschool'!$S$2,IF(C50='Parkeernormen Auto'!$A$119,'Rekentool KDV &amp; BSO Basisschool'!$Y$2,IF(C50='Parkeernormen Auto'!$A$120,'Rekentool KDV &amp; BSO Basisschool'!$AD$2,IF(C50='Parkeernormen Auto'!$A$121,'Rekentool KDV &amp; BSO Basisschool'!$AI$2,IF(C50='Parkeernormen Auto'!$A$122,'Rekentool KDV &amp; BSO Basisschool'!$T$2,IF(C50='Parkeernormen Auto'!$A$123,'Rekentool KDV &amp; BSO Basisschool'!$Z$2,IF(C50='Parkeernormen Auto'!$A$124,'Rekentool KDV &amp; BSO Basisschool'!$AE$2,IF(C50='Parkeernormen Auto'!$A$125,'Rekentool KDV &amp; BSO Basisschool'!$AJ$2,"")))))))),FALSE),L50*J50))</f>
        <v>0</v>
      </c>
      <c r="N50" s="90">
        <f t="shared" si="17"/>
        <v>0</v>
      </c>
      <c r="O50" s="143"/>
      <c r="P50" s="88"/>
      <c r="Q50" s="72" t="str">
        <f t="shared" si="18"/>
        <v>Veld 3 - Rijwoning Betaalbaar - Koop</v>
      </c>
      <c r="R50" s="90">
        <f>IF($C50="","",IF($N50="",IF(VLOOKUP($C50,'Parkeernormen Auto'!$A$2:$Z$130,'Parkeernormen Auto'!S$19,FALSE)="-","-",$M50*VLOOKUP($C50,'Parkeernormen Auto'!$A$2:$Z$130,'Parkeernormen Auto'!S$19,FALSE)),($M50)+($N50*'Parkeernormen Auto'!S$3)))</f>
        <v>0</v>
      </c>
      <c r="S50" s="90">
        <f>IF($C50="","",IF($N50="",IF(VLOOKUP($C50,'Parkeernormen Auto'!$A$2:$Z$130,'Parkeernormen Auto'!T$19,FALSE)="-","-",$M50*VLOOKUP($C50,'Parkeernormen Auto'!$A$2:$Z$130,'Parkeernormen Auto'!T$19,FALSE)),($M50)+($N50*'Parkeernormen Auto'!T$3)))</f>
        <v>0</v>
      </c>
      <c r="T50" s="90">
        <f>IF($C50="","",IF($N50="",IF(VLOOKUP($C50,'Parkeernormen Auto'!$A$2:$Z$130,'Parkeernormen Auto'!U$19,FALSE)="-","-",$M50*VLOOKUP($C50,'Parkeernormen Auto'!$A$2:$Z$130,'Parkeernormen Auto'!U$19,FALSE)),($M50)+($N50*'Parkeernormen Auto'!U$3)))</f>
        <v>0</v>
      </c>
      <c r="U50" s="90">
        <f>IF($C50="","",IF($N50="",IF(VLOOKUP($C50,'Parkeernormen Auto'!$A$2:$Z$130,'Parkeernormen Auto'!V$19,FALSE)="-","-",$M50*VLOOKUP($C50,'Parkeernormen Auto'!$A$2:$Z$130,'Parkeernormen Auto'!V$19,FALSE)),($M50)+($N50*'Parkeernormen Auto'!V$3)))</f>
        <v>0</v>
      </c>
      <c r="V50" s="90">
        <f>IF($C50="","",IF($N50="",IF(VLOOKUP($C50,'Parkeernormen Auto'!$A$2:$Z$130,'Parkeernormen Auto'!W$19,FALSE)="-","-",$M50*VLOOKUP($C50,'Parkeernormen Auto'!$A$2:$Z$130,'Parkeernormen Auto'!W$19,FALSE)),($M50)+($N50*'Parkeernormen Auto'!W$3)))</f>
        <v>0</v>
      </c>
      <c r="W50" s="90">
        <f>IF($C50="","",IF($N50="",IF(VLOOKUP($C50,'Parkeernormen Auto'!$A$2:$Z$130,'Parkeernormen Auto'!X$19,FALSE)="-","-",$M50*VLOOKUP($C50,'Parkeernormen Auto'!$A$2:$Z$130,'Parkeernormen Auto'!X$19,FALSE)),($M50)+($N50*'Parkeernormen Auto'!X$3)))</f>
        <v>0</v>
      </c>
      <c r="X50" s="90">
        <f>IF($C50="","",IF($N50="",IF(VLOOKUP($C50,'Parkeernormen Auto'!$A$2:$Z$130,'Parkeernormen Auto'!Y$19,FALSE)="-","-",$M50*VLOOKUP($C50,'Parkeernormen Auto'!$A$2:$Z$130,'Parkeernormen Auto'!Y$19,FALSE)),($M50)+($N50*'Parkeernormen Auto'!Y$3)))</f>
        <v>0</v>
      </c>
      <c r="Y50" s="91">
        <f>IF($C50="","",IF($N50="",IF(VLOOKUP($C50,'Parkeernormen Auto'!$A$2:$Z$130,'Parkeernormen Auto'!Z$19,FALSE)="-","-",$M50*VLOOKUP($C50,'Parkeernormen Auto'!$A$2:$Z$130,'Parkeernormen Auto'!Z$19,FALSE)),($M50)+($N50*'Parkeernormen Auto'!Z$3)))</f>
        <v>0</v>
      </c>
      <c r="Z50" s="89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</row>
    <row r="51" spans="1:44" x14ac:dyDescent="0.5">
      <c r="A51" s="72" t="s">
        <v>18</v>
      </c>
      <c r="B51" s="73">
        <f>VLOOKUP(A51,'Parkeernormen Auto'!$AB$2:$AD$12,2,FALSE)</f>
        <v>7</v>
      </c>
      <c r="C51" s="73" t="s">
        <v>266</v>
      </c>
      <c r="D51" s="80" t="s">
        <v>33</v>
      </c>
      <c r="E51" s="90">
        <f>IF(C51="","",VLOOKUP(C51,'Parkeernormen Auto'!$A$2:$P$130,B51,FALSE))</f>
        <v>0.90000000000000013</v>
      </c>
      <c r="F51" s="90">
        <f>IF(C51="","",IF(F50="","",VLOOKUP(C51,'Parkeernormen Auto'!$A$2:$P$130,B51+1,FALSE)))</f>
        <v>0.2</v>
      </c>
      <c r="G51" s="73" t="str">
        <f>IF(C51="","",VLOOKUP(C51,'Parkeernormen Auto'!$A$2:$B$130,2,FALSE))</f>
        <v>Per woning</v>
      </c>
      <c r="H51" s="68" t="s">
        <v>20</v>
      </c>
      <c r="I51" s="90">
        <f>IF(C51="","",IF(VLOOKUP(H51,'Parkeernormen Auto'!$AF$2:$AG$12,2,)&gt;E51,E51,VLOOKUP(H51,'Parkeernormen Auto'!$AF$2:$AG$12,2,)))</f>
        <v>0</v>
      </c>
      <c r="J51" s="90">
        <f t="shared" si="15"/>
        <v>0.90000000000000013</v>
      </c>
      <c r="K51" s="90">
        <f t="shared" si="16"/>
        <v>0.2</v>
      </c>
      <c r="L51" s="69"/>
      <c r="M51" s="90">
        <f>IF(C51="","",IF(OR(C51='Parkeernormen Auto'!$A$118,C51='Parkeernormen Auto'!$A$119,C51='Parkeernormen Auto'!$A$120,C51='Parkeernormen Auto'!$A$121,C51='Parkeernormen Auto'!$A$122,C51='Parkeernormen Auto'!$A$123,C51='Parkeernormen Auto'!$A$124,C51='Parkeernormen Auto'!$A$125),VLOOKUP($E$1,'Rekentool KDV &amp; BSO Basisschool'!$O$3:$AK$14,IF(C51='Parkeernormen Auto'!$A$118,'Rekentool KDV &amp; BSO Basisschool'!$S$2,IF(C51='Parkeernormen Auto'!$A$119,'Rekentool KDV &amp; BSO Basisschool'!$Y$2,IF(C51='Parkeernormen Auto'!$A$120,'Rekentool KDV &amp; BSO Basisschool'!$AD$2,IF(C51='Parkeernormen Auto'!$A$121,'Rekentool KDV &amp; BSO Basisschool'!$AI$2,IF(C51='Parkeernormen Auto'!$A$122,'Rekentool KDV &amp; BSO Basisschool'!$T$2,IF(C51='Parkeernormen Auto'!$A$123,'Rekentool KDV &amp; BSO Basisschool'!$Z$2,IF(C51='Parkeernormen Auto'!$A$124,'Rekentool KDV &amp; BSO Basisschool'!$AE$2,IF(C51='Parkeernormen Auto'!$A$125,'Rekentool KDV &amp; BSO Basisschool'!$AJ$2,"")))))))),FALSE),L51*J51))</f>
        <v>0</v>
      </c>
      <c r="N51" s="90">
        <f t="shared" si="17"/>
        <v>0</v>
      </c>
      <c r="O51" s="143"/>
      <c r="P51" s="88"/>
      <c r="Q51" s="72" t="str">
        <f t="shared" si="18"/>
        <v>Veld 3 - Rijwoning Midden - Huur</v>
      </c>
      <c r="R51" s="90">
        <f>IF($C51="","",IF($N51="",IF(VLOOKUP($C51,'Parkeernormen Auto'!$A$2:$Z$130,'Parkeernormen Auto'!S$19,FALSE)="-","-",$M51*VLOOKUP($C51,'Parkeernormen Auto'!$A$2:$Z$130,'Parkeernormen Auto'!S$19,FALSE)),($M51)+($N51*'Parkeernormen Auto'!S$3)))</f>
        <v>0</v>
      </c>
      <c r="S51" s="90">
        <f>IF($C51="","",IF($N51="",IF(VLOOKUP($C51,'Parkeernormen Auto'!$A$2:$Z$130,'Parkeernormen Auto'!T$19,FALSE)="-","-",$M51*VLOOKUP($C51,'Parkeernormen Auto'!$A$2:$Z$130,'Parkeernormen Auto'!T$19,FALSE)),($M51)+($N51*'Parkeernormen Auto'!T$3)))</f>
        <v>0</v>
      </c>
      <c r="T51" s="90">
        <f>IF($C51="","",IF($N51="",IF(VLOOKUP($C51,'Parkeernormen Auto'!$A$2:$Z$130,'Parkeernormen Auto'!U$19,FALSE)="-","-",$M51*VLOOKUP($C51,'Parkeernormen Auto'!$A$2:$Z$130,'Parkeernormen Auto'!U$19,FALSE)),($M51)+($N51*'Parkeernormen Auto'!U$3)))</f>
        <v>0</v>
      </c>
      <c r="U51" s="90">
        <f>IF($C51="","",IF($N51="",IF(VLOOKUP($C51,'Parkeernormen Auto'!$A$2:$Z$130,'Parkeernormen Auto'!V$19,FALSE)="-","-",$M51*VLOOKUP($C51,'Parkeernormen Auto'!$A$2:$Z$130,'Parkeernormen Auto'!V$19,FALSE)),($M51)+($N51*'Parkeernormen Auto'!V$3)))</f>
        <v>0</v>
      </c>
      <c r="V51" s="90">
        <f>IF($C51="","",IF($N51="",IF(VLOOKUP($C51,'Parkeernormen Auto'!$A$2:$Z$130,'Parkeernormen Auto'!W$19,FALSE)="-","-",$M51*VLOOKUP($C51,'Parkeernormen Auto'!$A$2:$Z$130,'Parkeernormen Auto'!W$19,FALSE)),($M51)+($N51*'Parkeernormen Auto'!W$3)))</f>
        <v>0</v>
      </c>
      <c r="W51" s="90">
        <f>IF($C51="","",IF($N51="",IF(VLOOKUP($C51,'Parkeernormen Auto'!$A$2:$Z$130,'Parkeernormen Auto'!X$19,FALSE)="-","-",$M51*VLOOKUP($C51,'Parkeernormen Auto'!$A$2:$Z$130,'Parkeernormen Auto'!X$19,FALSE)),($M51)+($N51*'Parkeernormen Auto'!X$3)))</f>
        <v>0</v>
      </c>
      <c r="X51" s="90">
        <f>IF($C51="","",IF($N51="",IF(VLOOKUP($C51,'Parkeernormen Auto'!$A$2:$Z$130,'Parkeernormen Auto'!Y$19,FALSE)="-","-",$M51*VLOOKUP($C51,'Parkeernormen Auto'!$A$2:$Z$130,'Parkeernormen Auto'!Y$19,FALSE)),($M51)+($N51*'Parkeernormen Auto'!Y$3)))</f>
        <v>0</v>
      </c>
      <c r="Y51" s="91">
        <f>IF($C51="","",IF($N51="",IF(VLOOKUP($C51,'Parkeernormen Auto'!$A$2:$Z$130,'Parkeernormen Auto'!Z$19,FALSE)="-","-",$M51*VLOOKUP($C51,'Parkeernormen Auto'!$A$2:$Z$130,'Parkeernormen Auto'!Z$19,FALSE)),($M51)+($N51*'Parkeernormen Auto'!Z$3)))</f>
        <v>0</v>
      </c>
      <c r="Z51" s="89"/>
      <c r="AA51" s="67"/>
      <c r="AB51" s="64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</row>
    <row r="52" spans="1:44" ht="16.149999999999999" thickBot="1" x14ac:dyDescent="0.55000000000000004">
      <c r="A52" s="115" t="s">
        <v>18</v>
      </c>
      <c r="B52" s="132">
        <f>VLOOKUP(A52,'Parkeernormen Auto'!$AB$2:$AD$12,2,FALSE)</f>
        <v>7</v>
      </c>
      <c r="C52" s="132" t="s">
        <v>266</v>
      </c>
      <c r="D52" s="133" t="s">
        <v>231</v>
      </c>
      <c r="E52" s="119">
        <f>IF(C52="","",VLOOKUP(C52,'Parkeernormen Auto'!$A$2:$P$130,B52,FALSE))</f>
        <v>0.90000000000000013</v>
      </c>
      <c r="F52" s="119">
        <f>IF(C52="","",IF(F51="","",VLOOKUP(C52,'Parkeernormen Auto'!$A$2:$P$130,B52+1,FALSE)))</f>
        <v>0.2</v>
      </c>
      <c r="G52" s="132" t="str">
        <f>IF(C52="","",VLOOKUP(C52,'Parkeernormen Auto'!$A$2:$B$130,2,FALSE))</f>
        <v>Per woning</v>
      </c>
      <c r="H52" s="134" t="s">
        <v>20</v>
      </c>
      <c r="I52" s="119">
        <f>IF(C52="","",IF(VLOOKUP(H52,'Parkeernormen Auto'!$AF$2:$AG$12,2,)&gt;E52,E52,VLOOKUP(H52,'Parkeernormen Auto'!$AF$2:$AG$12,2,)))</f>
        <v>0</v>
      </c>
      <c r="J52" s="119">
        <f t="shared" si="15"/>
        <v>0.90000000000000013</v>
      </c>
      <c r="K52" s="119">
        <f t="shared" si="16"/>
        <v>0.2</v>
      </c>
      <c r="L52" s="135"/>
      <c r="M52" s="119">
        <f>IF(C52="","",IF(OR(C52='Parkeernormen Auto'!$A$118,C52='Parkeernormen Auto'!$A$119,C52='Parkeernormen Auto'!$A$120,C52='Parkeernormen Auto'!$A$121,C52='Parkeernormen Auto'!$A$122,C52='Parkeernormen Auto'!$A$123,C52='Parkeernormen Auto'!$A$124,C52='Parkeernormen Auto'!$A$125),VLOOKUP($E$1,'Rekentool KDV &amp; BSO Basisschool'!$O$3:$AK$14,IF(C52='Parkeernormen Auto'!$A$118,'Rekentool KDV &amp; BSO Basisschool'!$S$2,IF(C52='Parkeernormen Auto'!$A$119,'Rekentool KDV &amp; BSO Basisschool'!$Y$2,IF(C52='Parkeernormen Auto'!$A$120,'Rekentool KDV &amp; BSO Basisschool'!$AD$2,IF(C52='Parkeernormen Auto'!$A$121,'Rekentool KDV &amp; BSO Basisschool'!$AI$2,IF(C52='Parkeernormen Auto'!$A$122,'Rekentool KDV &amp; BSO Basisschool'!$T$2,IF(C52='Parkeernormen Auto'!$A$123,'Rekentool KDV &amp; BSO Basisschool'!$Z$2,IF(C52='Parkeernormen Auto'!$A$124,'Rekentool KDV &amp; BSO Basisschool'!$AE$2,IF(C52='Parkeernormen Auto'!$A$125,'Rekentool KDV &amp; BSO Basisschool'!$AJ$2,"")))))))),FALSE),L52*J52))</f>
        <v>0</v>
      </c>
      <c r="N52" s="119">
        <f t="shared" si="17"/>
        <v>0</v>
      </c>
      <c r="O52" s="147"/>
      <c r="P52" s="88"/>
      <c r="Q52" s="115" t="str">
        <f t="shared" si="18"/>
        <v>Veld 3 - Rijwoning Sociaal - Huur</v>
      </c>
      <c r="R52" s="119">
        <f>IF($C52="","",IF($N52="",IF(VLOOKUP($C52,'Parkeernormen Auto'!$A$2:$Z$130,'Parkeernormen Auto'!S$19,FALSE)="-","-",$M52*VLOOKUP($C52,'Parkeernormen Auto'!$A$2:$Z$130,'Parkeernormen Auto'!S$19,FALSE)),($M52)+($N52*'Parkeernormen Auto'!S$3)))</f>
        <v>0</v>
      </c>
      <c r="S52" s="119">
        <f>IF($C52="","",IF($N52="",IF(VLOOKUP($C52,'Parkeernormen Auto'!$A$2:$Z$130,'Parkeernormen Auto'!T$19,FALSE)="-","-",$M52*VLOOKUP($C52,'Parkeernormen Auto'!$A$2:$Z$130,'Parkeernormen Auto'!T$19,FALSE)),($M52)+($N52*'Parkeernormen Auto'!T$3)))</f>
        <v>0</v>
      </c>
      <c r="T52" s="119">
        <f>IF($C52="","",IF($N52="",IF(VLOOKUP($C52,'Parkeernormen Auto'!$A$2:$Z$130,'Parkeernormen Auto'!U$19,FALSE)="-","-",$M52*VLOOKUP($C52,'Parkeernormen Auto'!$A$2:$Z$130,'Parkeernormen Auto'!U$19,FALSE)),($M52)+($N52*'Parkeernormen Auto'!U$3)))</f>
        <v>0</v>
      </c>
      <c r="U52" s="119">
        <f>IF($C52="","",IF($N52="",IF(VLOOKUP($C52,'Parkeernormen Auto'!$A$2:$Z$130,'Parkeernormen Auto'!V$19,FALSE)="-","-",$M52*VLOOKUP($C52,'Parkeernormen Auto'!$A$2:$Z$130,'Parkeernormen Auto'!V$19,FALSE)),($M52)+($N52*'Parkeernormen Auto'!V$3)))</f>
        <v>0</v>
      </c>
      <c r="V52" s="119">
        <f>IF($C52="","",IF($N52="",IF(VLOOKUP($C52,'Parkeernormen Auto'!$A$2:$Z$130,'Parkeernormen Auto'!W$19,FALSE)="-","-",$M52*VLOOKUP($C52,'Parkeernormen Auto'!$A$2:$Z$130,'Parkeernormen Auto'!W$19,FALSE)),($M52)+($N52*'Parkeernormen Auto'!W$3)))</f>
        <v>0</v>
      </c>
      <c r="W52" s="119">
        <f>IF($C52="","",IF($N52="",IF(VLOOKUP($C52,'Parkeernormen Auto'!$A$2:$Z$130,'Parkeernormen Auto'!X$19,FALSE)="-","-",$M52*VLOOKUP($C52,'Parkeernormen Auto'!$A$2:$Z$130,'Parkeernormen Auto'!X$19,FALSE)),($M52)+($N52*'Parkeernormen Auto'!X$3)))</f>
        <v>0</v>
      </c>
      <c r="X52" s="119">
        <f>IF($C52="","",IF($N52="",IF(VLOOKUP($C52,'Parkeernormen Auto'!$A$2:$Z$130,'Parkeernormen Auto'!Y$19,FALSE)="-","-",$M52*VLOOKUP($C52,'Parkeernormen Auto'!$A$2:$Z$130,'Parkeernormen Auto'!Y$19,FALSE)),($M52)+($N52*'Parkeernormen Auto'!Y$3)))</f>
        <v>0</v>
      </c>
      <c r="Y52" s="120">
        <f>IF($C52="","",IF($N52="",IF(VLOOKUP($C52,'Parkeernormen Auto'!$A$2:$Z$130,'Parkeernormen Auto'!Z$19,FALSE)="-","-",$M52*VLOOKUP($C52,'Parkeernormen Auto'!$A$2:$Z$130,'Parkeernormen Auto'!Z$19,FALSE)),($M52)+($N52*'Parkeernormen Auto'!Z$3)))</f>
        <v>0</v>
      </c>
      <c r="Z52" s="89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</row>
    <row r="53" spans="1:44" ht="16.149999999999999" thickTop="1" x14ac:dyDescent="0.5">
      <c r="A53" s="136" t="str">
        <f>"Totaal "&amp;C31&amp;" - Veld 29"</f>
        <v>Totaal Functie Wonen - Veld 29</v>
      </c>
      <c r="B53" s="137"/>
      <c r="C53" s="137"/>
      <c r="D53" s="137"/>
      <c r="E53" s="83"/>
      <c r="F53" s="73"/>
      <c r="G53" s="73"/>
      <c r="H53" s="83"/>
      <c r="I53" s="83"/>
      <c r="J53" s="83"/>
      <c r="K53" s="86"/>
      <c r="L53" s="86">
        <f t="shared" ref="L53:M53" si="19">MROUND(SUM(L32:L52),1)</f>
        <v>103</v>
      </c>
      <c r="M53" s="86">
        <f t="shared" si="19"/>
        <v>82</v>
      </c>
      <c r="N53" s="86">
        <f>IF($N52="","",ROUNDUP(SUM(N32:N52),0))</f>
        <v>21</v>
      </c>
      <c r="O53" s="87">
        <f>MROUND(SUM(O32:O52),1)</f>
        <v>427</v>
      </c>
      <c r="P53" s="88"/>
      <c r="Q53" s="82" t="str">
        <f>A53</f>
        <v>Totaal Functie Wonen - Veld 29</v>
      </c>
      <c r="R53" s="86">
        <f>ROUNDUP(SUM(R32:R52),0)</f>
        <v>85</v>
      </c>
      <c r="S53" s="86">
        <f t="shared" ref="S53:Y53" si="20">ROUNDUP(SUM(S32:S52),0)</f>
        <v>87</v>
      </c>
      <c r="T53" s="86">
        <f t="shared" si="20"/>
        <v>99</v>
      </c>
      <c r="U53" s="86">
        <f t="shared" si="20"/>
        <v>83</v>
      </c>
      <c r="V53" s="86">
        <f t="shared" si="20"/>
        <v>97</v>
      </c>
      <c r="W53" s="86">
        <f t="shared" si="20"/>
        <v>95</v>
      </c>
      <c r="X53" s="86">
        <f t="shared" si="20"/>
        <v>103</v>
      </c>
      <c r="Y53" s="87">
        <f t="shared" si="20"/>
        <v>97</v>
      </c>
      <c r="Z53" s="89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</row>
    <row r="54" spans="1:44" x14ac:dyDescent="0.5">
      <c r="A54" s="72"/>
      <c r="B54" s="73"/>
      <c r="C54" s="73"/>
      <c r="D54" s="73"/>
      <c r="E54" s="83"/>
      <c r="F54" s="73"/>
      <c r="G54" s="73"/>
      <c r="H54" s="83"/>
      <c r="I54" s="83"/>
      <c r="J54" s="83"/>
      <c r="K54" s="88"/>
      <c r="L54" s="88"/>
      <c r="M54" s="90"/>
      <c r="N54" s="83"/>
      <c r="O54" s="91"/>
      <c r="P54" s="88"/>
      <c r="Q54" s="82"/>
      <c r="R54" s="111"/>
      <c r="S54" s="111"/>
      <c r="T54" s="111"/>
      <c r="U54" s="111"/>
      <c r="V54" s="111"/>
      <c r="W54" s="111"/>
      <c r="X54" s="111"/>
      <c r="Y54" s="92"/>
      <c r="Z54" s="73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</row>
    <row r="55" spans="1:44" x14ac:dyDescent="0.5">
      <c r="A55" s="136" t="s">
        <v>45</v>
      </c>
      <c r="B55" s="137"/>
      <c r="C55" s="137"/>
      <c r="D55" s="83"/>
      <c r="E55" s="83"/>
      <c r="F55" s="73"/>
      <c r="G55" s="73"/>
      <c r="H55" s="73"/>
      <c r="I55" s="83"/>
      <c r="J55" s="83"/>
      <c r="K55" s="86"/>
      <c r="L55" s="86">
        <f>SUM(L21,L28,L53)</f>
        <v>289</v>
      </c>
      <c r="M55" s="86">
        <f>SUM(M21,M28,M53)</f>
        <v>348</v>
      </c>
      <c r="N55" s="86">
        <f>SUM(N21,N28,N53)</f>
        <v>59</v>
      </c>
      <c r="O55" s="91"/>
      <c r="P55" s="88"/>
      <c r="Q55" s="82" t="str">
        <f t="shared" ref="Q55:Q57" si="21">A55</f>
        <v>Totaal parkeerbehoefte</v>
      </c>
      <c r="R55" s="86">
        <f t="shared" ref="R55:Y55" si="22">SUM(R29,R53)</f>
        <v>355</v>
      </c>
      <c r="S55" s="86">
        <f t="shared" si="22"/>
        <v>341</v>
      </c>
      <c r="T55" s="86">
        <f t="shared" si="22"/>
        <v>307</v>
      </c>
      <c r="U55" s="86">
        <f t="shared" si="22"/>
        <v>232</v>
      </c>
      <c r="V55" s="86">
        <f t="shared" si="22"/>
        <v>272</v>
      </c>
      <c r="W55" s="86">
        <f t="shared" si="22"/>
        <v>267</v>
      </c>
      <c r="X55" s="86">
        <f t="shared" si="22"/>
        <v>289</v>
      </c>
      <c r="Y55" s="86">
        <f t="shared" si="22"/>
        <v>272</v>
      </c>
      <c r="Z55" s="73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</row>
    <row r="56" spans="1:44" x14ac:dyDescent="0.5">
      <c r="A56" s="138" t="s">
        <v>46</v>
      </c>
      <c r="B56" s="137"/>
      <c r="C56" s="137"/>
      <c r="D56" s="73"/>
      <c r="E56" s="73"/>
      <c r="F56" s="73"/>
      <c r="G56" s="73"/>
      <c r="H56" s="73"/>
      <c r="I56" s="73"/>
      <c r="J56" s="73"/>
      <c r="K56" s="88"/>
      <c r="L56" s="88"/>
      <c r="M56" s="139">
        <f>SUM(O21,O28,O53)</f>
        <v>716</v>
      </c>
      <c r="N56" s="137"/>
      <c r="O56" s="91"/>
      <c r="P56" s="88"/>
      <c r="Q56" s="82" t="str">
        <f t="shared" si="21"/>
        <v>Totaal parkeeraanbod - Openbaar</v>
      </c>
      <c r="R56" s="88">
        <f t="shared" ref="R56:Y56" si="23">$M$56</f>
        <v>716</v>
      </c>
      <c r="S56" s="88">
        <f t="shared" si="23"/>
        <v>716</v>
      </c>
      <c r="T56" s="88">
        <f t="shared" si="23"/>
        <v>716</v>
      </c>
      <c r="U56" s="88">
        <f t="shared" si="23"/>
        <v>716</v>
      </c>
      <c r="V56" s="88">
        <f t="shared" si="23"/>
        <v>716</v>
      </c>
      <c r="W56" s="88">
        <f t="shared" si="23"/>
        <v>716</v>
      </c>
      <c r="X56" s="88">
        <f t="shared" si="23"/>
        <v>716</v>
      </c>
      <c r="Y56" s="93">
        <f t="shared" si="23"/>
        <v>716</v>
      </c>
      <c r="Z56" s="73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</row>
    <row r="57" spans="1:44" x14ac:dyDescent="0.5">
      <c r="A57" s="138" t="s">
        <v>23</v>
      </c>
      <c r="B57" s="137"/>
      <c r="C57" s="137"/>
      <c r="D57" s="73"/>
      <c r="E57" s="73"/>
      <c r="F57" s="73"/>
      <c r="G57" s="73"/>
      <c r="H57" s="73"/>
      <c r="I57" s="73"/>
      <c r="J57" s="73"/>
      <c r="K57" s="88"/>
      <c r="L57" s="88"/>
      <c r="M57" s="139">
        <f>M56-(M55+N55)</f>
        <v>309</v>
      </c>
      <c r="N57" s="137"/>
      <c r="O57" s="91"/>
      <c r="P57" s="88"/>
      <c r="Q57" s="82" t="str">
        <f t="shared" si="21"/>
        <v>Verschil</v>
      </c>
      <c r="R57" s="88">
        <f t="shared" ref="R57:Y57" si="24">R56-R55</f>
        <v>361</v>
      </c>
      <c r="S57" s="88">
        <f t="shared" si="24"/>
        <v>375</v>
      </c>
      <c r="T57" s="88">
        <f t="shared" si="24"/>
        <v>409</v>
      </c>
      <c r="U57" s="88">
        <f t="shared" si="24"/>
        <v>484</v>
      </c>
      <c r="V57" s="88">
        <f t="shared" si="24"/>
        <v>444</v>
      </c>
      <c r="W57" s="88">
        <f t="shared" si="24"/>
        <v>449</v>
      </c>
      <c r="X57" s="88">
        <f t="shared" si="24"/>
        <v>427</v>
      </c>
      <c r="Y57" s="93">
        <f t="shared" si="24"/>
        <v>444</v>
      </c>
      <c r="Z57" s="73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</row>
    <row r="58" spans="1:44" ht="16.149999999999999" thickBot="1" x14ac:dyDescent="0.55000000000000004">
      <c r="A58" s="84"/>
      <c r="B58" s="85"/>
      <c r="C58" s="85"/>
      <c r="D58" s="85"/>
      <c r="E58" s="85"/>
      <c r="F58" s="85"/>
      <c r="G58" s="85"/>
      <c r="H58" s="85"/>
      <c r="I58" s="85"/>
      <c r="J58" s="85"/>
      <c r="K58" s="94"/>
      <c r="L58" s="94"/>
      <c r="M58" s="95"/>
      <c r="N58" s="95"/>
      <c r="O58" s="96"/>
      <c r="P58" s="88"/>
      <c r="Q58" s="84"/>
      <c r="R58" s="97">
        <v>14</v>
      </c>
      <c r="S58" s="97">
        <v>15</v>
      </c>
      <c r="T58" s="98">
        <v>16</v>
      </c>
      <c r="U58" s="98">
        <v>17</v>
      </c>
      <c r="V58" s="98">
        <v>18</v>
      </c>
      <c r="W58" s="98">
        <v>21</v>
      </c>
      <c r="X58" s="95"/>
      <c r="Y58" s="99"/>
      <c r="Z58" s="73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</row>
  </sheetData>
  <sheetProtection algorithmName="SHA-512" hashValue="aXnRzWwodGT1hCvloQnKOxOoLc30p1SHn0zo7A9U+i1926cHjWd2gcF3yC1fCIPMpMqvnFzhtCHL2yZCsPZZxw==" saltValue="24VZhu7qDmLdip1jBCohgg==" spinCount="100000" sheet="1" objects="1" scenarios="1"/>
  <mergeCells count="110">
    <mergeCell ref="H45:H46"/>
    <mergeCell ref="I45:I46"/>
    <mergeCell ref="J45:J46"/>
    <mergeCell ref="J19:J20"/>
    <mergeCell ref="K19:K20"/>
    <mergeCell ref="L19:L20"/>
    <mergeCell ref="M19:M20"/>
    <mergeCell ref="N19:N20"/>
    <mergeCell ref="E19:E20"/>
    <mergeCell ref="F19:F20"/>
    <mergeCell ref="G19:G20"/>
    <mergeCell ref="H19:H20"/>
    <mergeCell ref="I19:I20"/>
    <mergeCell ref="W37:W38"/>
    <mergeCell ref="X37:X38"/>
    <mergeCell ref="Y37:Y38"/>
    <mergeCell ref="R45:R46"/>
    <mergeCell ref="S45:S46"/>
    <mergeCell ref="T45:T46"/>
    <mergeCell ref="U45:U46"/>
    <mergeCell ref="V45:V46"/>
    <mergeCell ref="W45:W46"/>
    <mergeCell ref="X45:X46"/>
    <mergeCell ref="Y45:Y46"/>
    <mergeCell ref="R37:R38"/>
    <mergeCell ref="S37:S38"/>
    <mergeCell ref="T37:T38"/>
    <mergeCell ref="U37:U38"/>
    <mergeCell ref="V37:V38"/>
    <mergeCell ref="N45:N46"/>
    <mergeCell ref="F45:F46"/>
    <mergeCell ref="G45:G46"/>
    <mergeCell ref="W11:W12"/>
    <mergeCell ref="X11:X12"/>
    <mergeCell ref="Y11:Y12"/>
    <mergeCell ref="R19:R20"/>
    <mergeCell ref="S19:S20"/>
    <mergeCell ref="T19:T20"/>
    <mergeCell ref="U19:U20"/>
    <mergeCell ref="V19:V20"/>
    <mergeCell ref="W19:W20"/>
    <mergeCell ref="X19:X20"/>
    <mergeCell ref="Y19:Y20"/>
    <mergeCell ref="R11:R12"/>
    <mergeCell ref="S11:S12"/>
    <mergeCell ref="T11:T12"/>
    <mergeCell ref="U11:U12"/>
    <mergeCell ref="V11:V12"/>
    <mergeCell ref="N3:N4"/>
    <mergeCell ref="H3:H4"/>
    <mergeCell ref="U3:U4"/>
    <mergeCell ref="V3:V4"/>
    <mergeCell ref="W3:W4"/>
    <mergeCell ref="X3:X4"/>
    <mergeCell ref="Y3:Y4"/>
    <mergeCell ref="Q1:S1"/>
    <mergeCell ref="O3:O4"/>
    <mergeCell ref="T1:Y1"/>
    <mergeCell ref="L3:L4"/>
    <mergeCell ref="R3:R4"/>
    <mergeCell ref="S3:S4"/>
    <mergeCell ref="T3:T4"/>
    <mergeCell ref="M45:M46"/>
    <mergeCell ref="O6:O12"/>
    <mergeCell ref="O14:O20"/>
    <mergeCell ref="A21:D21"/>
    <mergeCell ref="O24:O27"/>
    <mergeCell ref="A1:D1"/>
    <mergeCell ref="E1:O1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E3:E4"/>
    <mergeCell ref="F3:F4"/>
    <mergeCell ref="G3:G4"/>
    <mergeCell ref="I3:I4"/>
    <mergeCell ref="J3:J4"/>
    <mergeCell ref="K3:K4"/>
    <mergeCell ref="M3:M4"/>
    <mergeCell ref="A29:D29"/>
    <mergeCell ref="A57:C57"/>
    <mergeCell ref="M57:N57"/>
    <mergeCell ref="A28:D28"/>
    <mergeCell ref="O32:O38"/>
    <mergeCell ref="O40:O46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E45:E46"/>
    <mergeCell ref="O48:O52"/>
    <mergeCell ref="A53:D53"/>
    <mergeCell ref="A55:C55"/>
    <mergeCell ref="A56:C56"/>
    <mergeCell ref="M56:N56"/>
    <mergeCell ref="K45:K46"/>
    <mergeCell ref="L45:L46"/>
  </mergeCells>
  <conditionalFormatting sqref="C3:C4 C6:C12 C14:C20 C24:C27 C32:C38 C40:C46 C48:C52">
    <cfRule type="beginsWith" dxfId="9" priority="5" operator="beginsWith" text="Oude norm">
      <formula>LEFT((C3),LEN("Oude norm"))=("Oude norm")</formula>
    </cfRule>
  </conditionalFormatting>
  <conditionalFormatting sqref="M57:N57">
    <cfRule type="cellIs" dxfId="8" priority="6" operator="equal">
      <formula>0</formula>
    </cfRule>
    <cfRule type="cellIs" dxfId="7" priority="7" operator="greaterThan">
      <formula>0.01</formula>
    </cfRule>
    <cfRule type="cellIs" dxfId="6" priority="8" operator="lessThan">
      <formula>-0.01</formula>
    </cfRule>
  </conditionalFormatting>
  <conditionalFormatting sqref="R21:Y21">
    <cfRule type="colorScale" priority="23">
      <colorScale>
        <cfvo type="percent" val="0"/>
        <cfvo type="percent" val="90"/>
        <cfvo type="percent" val="100"/>
        <color rgb="FFFFFFFF"/>
        <color rgb="FFFFFFFF"/>
        <color rgb="FFFBF1EB"/>
      </colorScale>
    </cfRule>
  </conditionalFormatting>
  <conditionalFormatting sqref="R28:Y28">
    <cfRule type="colorScale" priority="25">
      <colorScale>
        <cfvo type="percent" val="0"/>
        <cfvo type="percent" val="90"/>
        <cfvo type="percent" val="100"/>
        <color rgb="FFFFFFFF"/>
        <color rgb="FFFFFFFF"/>
        <color rgb="FFFBF1EB"/>
      </colorScale>
    </cfRule>
  </conditionalFormatting>
  <conditionalFormatting sqref="R29:Y29">
    <cfRule type="top10" dxfId="5" priority="1" rank="1"/>
    <cfRule type="colorScale" priority="2">
      <colorScale>
        <cfvo type="percent" val="0"/>
        <cfvo type="percent" val="90"/>
        <cfvo type="percent" val="100"/>
        <color theme="0"/>
        <color theme="0"/>
        <color rgb="FFD4B1B2"/>
      </colorScale>
    </cfRule>
  </conditionalFormatting>
  <conditionalFormatting sqref="R53:Y53">
    <cfRule type="colorScale" priority="3">
      <colorScale>
        <cfvo type="percent" val="0"/>
        <cfvo type="percent" val="90"/>
        <cfvo type="percent" val="100"/>
        <color rgb="FFFFFFFF"/>
        <color rgb="FFFFFFFF"/>
        <color rgb="FFD4B1B2"/>
      </colorScale>
    </cfRule>
    <cfRule type="top10" dxfId="4" priority="29" stopIfTrue="1" rank="1"/>
  </conditionalFormatting>
  <conditionalFormatting sqref="R54:Y54">
    <cfRule type="cellIs" dxfId="3" priority="16" operator="lessThan">
      <formula>0</formula>
    </cfRule>
  </conditionalFormatting>
  <conditionalFormatting sqref="R55:Y55">
    <cfRule type="colorScale" priority="31">
      <colorScale>
        <cfvo type="percent" val="0"/>
        <cfvo type="percent" val="90"/>
        <cfvo type="percent" val="100"/>
        <color theme="0"/>
        <color theme="0"/>
        <color rgb="FFFF0000"/>
      </colorScale>
    </cfRule>
  </conditionalFormatting>
  <conditionalFormatting sqref="R57:Y57">
    <cfRule type="cellIs" dxfId="2" priority="9" operator="greaterThan">
      <formula>0.01</formula>
    </cfRule>
    <cfRule type="cellIs" dxfId="1" priority="10" operator="lessThan">
      <formula>-0.01</formula>
    </cfRule>
    <cfRule type="cellIs" dxfId="0" priority="11" operator="equal">
      <formula>0</formula>
    </cfRule>
  </conditionalFormatting>
  <dataValidations count="1">
    <dataValidation type="list" allowBlank="1" showErrorMessage="1" sqref="C2 C23 C31" xr:uid="{640B7EFE-CF85-DE47-B84C-E4042A65D954}">
      <formula1>"Functie Wonen,Functie Werken,Functie Winkelen,Functie Sport, Cultuur en Ontspanning,Functie Horeca &amp; Verblijfsrecreatie,Functie Gezondheidszorg,Functie Onderwijs"</formula1>
    </dataValidation>
  </dataValidations>
  <pageMargins left="0.7" right="0.7" top="0.75" bottom="0.75" header="0.3" footer="0.3"/>
  <pageSetup paperSize="9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16232F2-8B54-534F-B4F8-DF639A3A5F0E}">
          <x14:formula1>
            <xm:f>'Parkeernormen Auto'!$A$1:$A$18</xm:f>
          </x14:formula1>
          <xm:sqref>C14:C20 C48:C52 C3:C4 C32:C38 C40:C46 C6:C12</xm:sqref>
        </x14:dataValidation>
        <x14:dataValidation type="list" allowBlank="1" showInputMessage="1" showErrorMessage="1" xr:uid="{9CCE9DF9-433A-CC4B-AE73-BEEAB6F79CD6}">
          <x14:formula1>
            <xm:f>'Parkeernormen Auto'!$A$118:$A$130</xm:f>
          </x14:formula1>
          <xm:sqref>C24:C27</xm:sqref>
        </x14:dataValidation>
        <x14:dataValidation type="list" allowBlank="1" showInputMessage="1" showErrorMessage="1" xr:uid="{B1E3E1FC-42ED-BC4C-8FF3-06B642CC2FCC}">
          <x14:formula1>
            <xm:f>'Parkeernormen Auto'!$AF$2:$AF$11</xm:f>
          </x14:formula1>
          <xm:sqref>H48:H52 H3 H6:H11 H24:H27 H14:H19 H32:H37 H40:H45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18F07-43EE-314E-BE18-02A24D14BDA9}">
  <dimension ref="A1:BI1059"/>
  <sheetViews>
    <sheetView zoomScaleNormal="100" workbookViewId="0">
      <selection activeCell="A11" sqref="A11"/>
    </sheetView>
  </sheetViews>
  <sheetFormatPr defaultColWidth="11.1875" defaultRowHeight="15.75" x14ac:dyDescent="0.5"/>
  <cols>
    <col min="1" max="1" width="51.8125" style="61" customWidth="1"/>
    <col min="2" max="2" width="18.8125" bestFit="1" customWidth="1"/>
    <col min="3" max="5" width="6.8125" customWidth="1"/>
    <col min="6" max="6" width="7" customWidth="1"/>
    <col min="7" max="7" width="6.8125" customWidth="1"/>
    <col min="8" max="8" width="7" customWidth="1"/>
    <col min="9" max="9" width="6.8125" customWidth="1"/>
    <col min="10" max="10" width="7" customWidth="1"/>
    <col min="11" max="11" width="6.8125" customWidth="1"/>
    <col min="12" max="12" width="5.8125" customWidth="1"/>
    <col min="13" max="15" width="6.8125" customWidth="1"/>
    <col min="16" max="16" width="5.8125" customWidth="1"/>
    <col min="17" max="17" width="4.5" customWidth="1"/>
    <col min="18" max="18" width="36.6875" customWidth="1"/>
    <col min="19" max="19" width="14.1875" customWidth="1"/>
    <col min="20" max="20" width="13.5" customWidth="1"/>
    <col min="21" max="21" width="12.5" customWidth="1"/>
    <col min="22" max="22" width="12.1875" customWidth="1"/>
    <col min="23" max="23" width="9.8125" customWidth="1"/>
    <col min="24" max="24" width="13.3125" customWidth="1"/>
    <col min="25" max="25" width="12.5" customWidth="1"/>
    <col min="26" max="26" width="12.3125" customWidth="1"/>
    <col min="27" max="27" width="6.5" customWidth="1"/>
    <col min="28" max="28" width="15.1875" customWidth="1"/>
    <col min="29" max="29" width="12.1875" customWidth="1"/>
    <col min="30" max="30" width="9" bestFit="1" customWidth="1"/>
    <col min="31" max="31" width="7.5" customWidth="1"/>
    <col min="32" max="32" width="24.6875" bestFit="1" customWidth="1"/>
    <col min="33" max="33" width="13.1875" bestFit="1" customWidth="1"/>
    <col min="34" max="34" width="11" customWidth="1"/>
    <col min="35" max="35" width="28.1875" customWidth="1"/>
    <col min="36" max="36" width="21.1875" customWidth="1"/>
    <col min="37" max="42" width="8.1875" customWidth="1"/>
    <col min="43" max="43" width="5.8125" customWidth="1"/>
    <col min="44" max="44" width="5.5" customWidth="1"/>
    <col min="45" max="45" width="20.8125" customWidth="1"/>
    <col min="46" max="46" width="14.1875" customWidth="1"/>
    <col min="47" max="47" width="13.5" customWidth="1"/>
    <col min="48" max="48" width="12.5" customWidth="1"/>
    <col min="49" max="49" width="9.8125" customWidth="1"/>
    <col min="50" max="50" width="12.1875" customWidth="1"/>
    <col min="51" max="51" width="13.3125" customWidth="1"/>
    <col min="52" max="52" width="12.5" customWidth="1"/>
    <col min="53" max="53" width="12.3125" customWidth="1"/>
    <col min="54" max="54" width="4.5" customWidth="1"/>
    <col min="55" max="55" width="10" customWidth="1"/>
    <col min="56" max="56" width="7.5" customWidth="1"/>
    <col min="57" max="57" width="17.1875" customWidth="1"/>
    <col min="58" max="58" width="6.1875" customWidth="1"/>
    <col min="59" max="59" width="21.5" customWidth="1"/>
    <col min="60" max="60" width="11.6875" customWidth="1"/>
    <col min="61" max="61" width="28.3125" customWidth="1"/>
  </cols>
  <sheetData>
    <row r="1" spans="1:61" ht="15.75" customHeight="1" x14ac:dyDescent="0.5">
      <c r="A1" s="55" t="s">
        <v>47</v>
      </c>
      <c r="B1" s="39" t="s">
        <v>6</v>
      </c>
      <c r="C1" s="161" t="s">
        <v>48</v>
      </c>
      <c r="D1" s="162"/>
      <c r="E1" s="161" t="s">
        <v>49</v>
      </c>
      <c r="F1" s="162"/>
      <c r="G1" s="161" t="s">
        <v>18</v>
      </c>
      <c r="H1" s="162"/>
      <c r="I1" s="161" t="s">
        <v>50</v>
      </c>
      <c r="J1" s="162"/>
      <c r="K1" s="161" t="s">
        <v>51</v>
      </c>
      <c r="L1" s="162"/>
      <c r="M1" s="161" t="s">
        <v>52</v>
      </c>
      <c r="N1" s="162"/>
      <c r="O1" s="161" t="s">
        <v>53</v>
      </c>
      <c r="P1" s="162"/>
      <c r="Q1" s="56"/>
      <c r="R1" s="39" t="s">
        <v>54</v>
      </c>
      <c r="S1" s="39" t="s">
        <v>10</v>
      </c>
      <c r="T1" s="39" t="s">
        <v>11</v>
      </c>
      <c r="U1" s="39" t="s">
        <v>12</v>
      </c>
      <c r="V1" s="39" t="s">
        <v>13</v>
      </c>
      <c r="W1" s="39" t="s">
        <v>14</v>
      </c>
      <c r="X1" s="39" t="s">
        <v>15</v>
      </c>
      <c r="Y1" s="39" t="s">
        <v>16</v>
      </c>
      <c r="Z1" s="39" t="s">
        <v>17</v>
      </c>
      <c r="AA1" s="56"/>
      <c r="AB1" s="39" t="s">
        <v>55</v>
      </c>
      <c r="AC1" s="39" t="s">
        <v>56</v>
      </c>
      <c r="AD1" s="39" t="s">
        <v>57</v>
      </c>
      <c r="AE1" s="56"/>
      <c r="AF1" s="62" t="s">
        <v>58</v>
      </c>
      <c r="AG1" s="62" t="s">
        <v>59</v>
      </c>
      <c r="AH1" s="43"/>
      <c r="AI1" s="43"/>
      <c r="AJ1" s="43"/>
      <c r="AK1" s="43"/>
      <c r="AL1" s="43"/>
      <c r="AM1" s="40"/>
      <c r="AN1" s="40"/>
      <c r="AO1" s="40"/>
      <c r="AP1" s="40"/>
      <c r="AQ1" s="40"/>
      <c r="AR1" s="1"/>
      <c r="AS1" s="40"/>
      <c r="AT1" s="40"/>
      <c r="AU1" s="40"/>
      <c r="AV1" s="40"/>
      <c r="AW1" s="40"/>
      <c r="AX1" s="40"/>
      <c r="AY1" s="40"/>
      <c r="AZ1" s="40"/>
      <c r="BA1" s="40"/>
      <c r="BB1" s="1"/>
      <c r="BC1" s="40"/>
      <c r="BD1" s="40"/>
      <c r="BE1" s="40"/>
      <c r="BF1" s="1"/>
      <c r="BI1" s="1"/>
    </row>
    <row r="2" spans="1:61" ht="15.75" customHeight="1" x14ac:dyDescent="0.5">
      <c r="A2" s="35" t="s">
        <v>258</v>
      </c>
      <c r="B2" s="35" t="s">
        <v>60</v>
      </c>
      <c r="C2" s="42">
        <f>1.3-D2</f>
        <v>1.2</v>
      </c>
      <c r="D2" s="42">
        <v>0.1</v>
      </c>
      <c r="E2" s="42">
        <f>1.5-F2</f>
        <v>1.35</v>
      </c>
      <c r="F2" s="31">
        <v>0.15</v>
      </c>
      <c r="G2" s="42">
        <f>1.9-H2</f>
        <v>1.7</v>
      </c>
      <c r="H2" s="31">
        <v>0.2</v>
      </c>
      <c r="I2" s="34">
        <f>2.2-J2</f>
        <v>1.9000000000000001</v>
      </c>
      <c r="J2" s="31">
        <v>0.3</v>
      </c>
      <c r="K2" s="34">
        <f>2.1-L2</f>
        <v>1.8</v>
      </c>
      <c r="L2" s="31">
        <v>0.3</v>
      </c>
      <c r="M2" s="34">
        <f t="shared" ref="M2:M5" si="0">1.5-N2</f>
        <v>1.2</v>
      </c>
      <c r="N2" s="31">
        <v>0.3</v>
      </c>
      <c r="O2" s="34">
        <f t="shared" ref="O2:O4" si="1">2-P2</f>
        <v>1.7</v>
      </c>
      <c r="P2" s="31">
        <v>0.3</v>
      </c>
      <c r="Q2" s="43"/>
      <c r="R2" s="35" t="s">
        <v>61</v>
      </c>
      <c r="S2" s="37">
        <v>0.5</v>
      </c>
      <c r="T2" s="37">
        <v>0.5</v>
      </c>
      <c r="U2" s="37">
        <v>0.9</v>
      </c>
      <c r="V2" s="37">
        <v>1</v>
      </c>
      <c r="W2" s="37">
        <v>0.9</v>
      </c>
      <c r="X2" s="37">
        <v>0.6</v>
      </c>
      <c r="Y2" s="37">
        <v>0.8</v>
      </c>
      <c r="Z2" s="37">
        <v>0.7</v>
      </c>
      <c r="AA2" s="47"/>
      <c r="AB2" s="31" t="str">
        <f>C1</f>
        <v>Zone A+</v>
      </c>
      <c r="AC2" s="33">
        <v>3</v>
      </c>
      <c r="AD2" s="33">
        <v>0.1</v>
      </c>
      <c r="AE2" s="43"/>
      <c r="AF2" s="63" t="s">
        <v>62</v>
      </c>
      <c r="AG2" s="63">
        <v>0.8</v>
      </c>
      <c r="AH2" s="43"/>
      <c r="AI2" s="43"/>
      <c r="AJ2" s="43"/>
      <c r="AK2" s="43"/>
      <c r="AL2" s="43"/>
      <c r="AM2" s="50"/>
      <c r="AN2" s="50"/>
      <c r="AO2" s="50"/>
      <c r="AP2" s="50"/>
      <c r="AQ2" s="50"/>
      <c r="AR2" s="1"/>
      <c r="AS2" s="49"/>
      <c r="AT2" s="41"/>
      <c r="AU2" s="41"/>
      <c r="AV2" s="41"/>
      <c r="AW2" s="41"/>
      <c r="AX2" s="41"/>
      <c r="AY2" s="41"/>
      <c r="AZ2" s="41"/>
      <c r="BA2" s="41"/>
      <c r="BB2" s="51"/>
      <c r="BC2" s="49"/>
      <c r="BD2" s="49"/>
      <c r="BE2" s="49"/>
      <c r="BF2" s="1"/>
      <c r="BI2" s="1"/>
    </row>
    <row r="3" spans="1:61" ht="15.75" customHeight="1" x14ac:dyDescent="0.5">
      <c r="A3" s="35" t="s">
        <v>259</v>
      </c>
      <c r="B3" s="35" t="s">
        <v>60</v>
      </c>
      <c r="C3" s="42">
        <f>1.2-D3</f>
        <v>1.0999999999999999</v>
      </c>
      <c r="D3" s="42">
        <v>0.1</v>
      </c>
      <c r="E3" s="42">
        <f>1.4-F3</f>
        <v>1.25</v>
      </c>
      <c r="F3" s="31">
        <v>0.15</v>
      </c>
      <c r="G3" s="42">
        <f>1.8-H3</f>
        <v>1.6</v>
      </c>
      <c r="H3" s="31">
        <v>0.2</v>
      </c>
      <c r="I3" s="34">
        <f>2.1-J3</f>
        <v>1.8</v>
      </c>
      <c r="J3" s="31">
        <v>0.3</v>
      </c>
      <c r="K3" s="34">
        <f t="shared" ref="K3:K4" si="2">1.8-L3</f>
        <v>1.5</v>
      </c>
      <c r="L3" s="31">
        <v>0.3</v>
      </c>
      <c r="M3" s="34">
        <f t="shared" si="0"/>
        <v>1.2</v>
      </c>
      <c r="N3" s="31">
        <v>0.3</v>
      </c>
      <c r="O3" s="34">
        <f t="shared" si="1"/>
        <v>1.7</v>
      </c>
      <c r="P3" s="31">
        <v>0.3</v>
      </c>
      <c r="Q3" s="43"/>
      <c r="R3" s="53" t="s">
        <v>63</v>
      </c>
      <c r="S3" s="44">
        <v>0.1</v>
      </c>
      <c r="T3" s="44">
        <v>0.2</v>
      </c>
      <c r="U3" s="44">
        <v>0.8</v>
      </c>
      <c r="V3" s="44">
        <v>0</v>
      </c>
      <c r="W3" s="44">
        <v>0.7</v>
      </c>
      <c r="X3" s="44">
        <v>0.6</v>
      </c>
      <c r="Y3" s="44">
        <v>1</v>
      </c>
      <c r="Z3" s="44">
        <v>0.7</v>
      </c>
      <c r="AA3" s="47"/>
      <c r="AB3" s="31" t="str">
        <f>E1</f>
        <v>Zone A</v>
      </c>
      <c r="AC3" s="33">
        <f t="shared" ref="AC3:AC8" si="3">AC2+2</f>
        <v>5</v>
      </c>
      <c r="AD3" s="33">
        <v>0.15</v>
      </c>
      <c r="AE3" s="43"/>
      <c r="AF3" s="63" t="s">
        <v>64</v>
      </c>
      <c r="AG3" s="63">
        <v>1</v>
      </c>
      <c r="AH3" s="43"/>
      <c r="AI3" s="43"/>
      <c r="AJ3" s="43"/>
      <c r="AK3" s="43"/>
      <c r="AL3" s="43"/>
      <c r="AM3" s="50"/>
      <c r="AN3" s="50"/>
      <c r="AO3" s="50"/>
      <c r="AP3" s="50"/>
      <c r="AQ3" s="50"/>
      <c r="AR3" s="1"/>
      <c r="AS3" s="49"/>
      <c r="AT3" s="41"/>
      <c r="AU3" s="41"/>
      <c r="AV3" s="41"/>
      <c r="AW3" s="41"/>
      <c r="AX3" s="41"/>
      <c r="AY3" s="41"/>
      <c r="AZ3" s="41"/>
      <c r="BA3" s="41"/>
      <c r="BB3" s="51"/>
      <c r="BC3" s="49"/>
      <c r="BD3" s="49"/>
      <c r="BE3" s="49"/>
      <c r="BF3" s="1"/>
      <c r="BI3" s="1"/>
    </row>
    <row r="4" spans="1:61" ht="15.75" customHeight="1" x14ac:dyDescent="0.5">
      <c r="A4" s="35" t="s">
        <v>260</v>
      </c>
      <c r="B4" s="35" t="s">
        <v>60</v>
      </c>
      <c r="C4" s="42">
        <f>0.9-D4</f>
        <v>0.8</v>
      </c>
      <c r="D4" s="42">
        <v>0.1</v>
      </c>
      <c r="E4" s="42">
        <f>1.2-F4</f>
        <v>1.05</v>
      </c>
      <c r="F4" s="31">
        <v>0.15</v>
      </c>
      <c r="G4" s="42">
        <f>1.4-H4</f>
        <v>1.2</v>
      </c>
      <c r="H4" s="31">
        <v>0.2</v>
      </c>
      <c r="I4" s="34">
        <f>1.6-J4</f>
        <v>1.3</v>
      </c>
      <c r="J4" s="31">
        <v>0.3</v>
      </c>
      <c r="K4" s="34">
        <f t="shared" si="2"/>
        <v>1.5</v>
      </c>
      <c r="L4" s="31">
        <v>0.3</v>
      </c>
      <c r="M4" s="34">
        <f t="shared" si="0"/>
        <v>1.2</v>
      </c>
      <c r="N4" s="31">
        <v>0.3</v>
      </c>
      <c r="O4" s="34">
        <f t="shared" si="1"/>
        <v>1.7</v>
      </c>
      <c r="P4" s="31">
        <v>0.3</v>
      </c>
      <c r="Q4" s="43"/>
      <c r="R4" s="54"/>
      <c r="S4" s="45"/>
      <c r="T4" s="45"/>
      <c r="U4" s="45"/>
      <c r="V4" s="45"/>
      <c r="W4" s="45"/>
      <c r="X4" s="45"/>
      <c r="Y4" s="45"/>
      <c r="Z4" s="45"/>
      <c r="AA4" s="47"/>
      <c r="AB4" s="31" t="str">
        <f>G1</f>
        <v>Zone B</v>
      </c>
      <c r="AC4" s="33">
        <f t="shared" si="3"/>
        <v>7</v>
      </c>
      <c r="AD4" s="33">
        <v>0.2</v>
      </c>
      <c r="AE4" s="43"/>
      <c r="AF4" s="63" t="s">
        <v>65</v>
      </c>
      <c r="AG4" s="63">
        <v>1.7</v>
      </c>
      <c r="AH4" s="43"/>
      <c r="AI4" s="43"/>
      <c r="AJ4" s="43"/>
      <c r="AK4" s="43"/>
      <c r="AL4" s="43"/>
      <c r="AM4" s="50"/>
      <c r="AN4" s="50"/>
      <c r="AO4" s="50"/>
      <c r="AP4" s="50"/>
      <c r="AQ4" s="50"/>
      <c r="AR4" s="1"/>
      <c r="AS4" s="1"/>
      <c r="AT4" s="51"/>
      <c r="AU4" s="51"/>
      <c r="AV4" s="51"/>
      <c r="AW4" s="51"/>
      <c r="AX4" s="51"/>
      <c r="AY4" s="51"/>
      <c r="AZ4" s="51"/>
      <c r="BA4" s="51"/>
      <c r="BB4" s="51"/>
      <c r="BC4" s="49"/>
      <c r="BD4" s="49"/>
      <c r="BE4" s="49"/>
      <c r="BF4" s="1"/>
      <c r="BI4" s="1"/>
    </row>
    <row r="5" spans="1:61" ht="15.75" customHeight="1" x14ac:dyDescent="0.5">
      <c r="A5" s="35" t="s">
        <v>261</v>
      </c>
      <c r="B5" s="35" t="s">
        <v>60</v>
      </c>
      <c r="C5" s="42">
        <f>1.2-D5</f>
        <v>1.0999999999999999</v>
      </c>
      <c r="D5" s="42">
        <v>0.1</v>
      </c>
      <c r="E5" s="42">
        <f>1.4-F5</f>
        <v>1.25</v>
      </c>
      <c r="F5" s="31">
        <v>0.15</v>
      </c>
      <c r="G5" s="42">
        <f>1.8-H5</f>
        <v>1.6</v>
      </c>
      <c r="H5" s="31">
        <v>0.2</v>
      </c>
      <c r="I5" s="34">
        <f>2.1-J5</f>
        <v>1.8</v>
      </c>
      <c r="J5" s="31">
        <v>0.3</v>
      </c>
      <c r="K5" s="34">
        <f>1.9-L5</f>
        <v>1.5999999999999999</v>
      </c>
      <c r="L5" s="31">
        <v>0.3</v>
      </c>
      <c r="M5" s="34">
        <f t="shared" si="0"/>
        <v>1.2</v>
      </c>
      <c r="N5" s="31">
        <v>0.3</v>
      </c>
      <c r="O5" s="34" t="s">
        <v>76</v>
      </c>
      <c r="P5" s="31">
        <v>0.3</v>
      </c>
      <c r="Q5" s="43"/>
      <c r="R5" s="40"/>
      <c r="S5" s="40"/>
      <c r="T5" s="40"/>
      <c r="U5" s="40"/>
      <c r="V5" s="40"/>
      <c r="W5" s="40"/>
      <c r="X5" s="40"/>
      <c r="Y5" s="40"/>
      <c r="Z5" s="40"/>
      <c r="AA5" s="47"/>
      <c r="AB5" s="31" t="str">
        <f>I1</f>
        <v>Zone C</v>
      </c>
      <c r="AC5" s="33">
        <f t="shared" si="3"/>
        <v>9</v>
      </c>
      <c r="AD5" s="33">
        <v>0.3</v>
      </c>
      <c r="AE5" s="43"/>
      <c r="AF5" s="63" t="s">
        <v>66</v>
      </c>
      <c r="AG5" s="63">
        <v>0.4</v>
      </c>
      <c r="AH5" s="43"/>
      <c r="AI5" s="43"/>
      <c r="AJ5" s="43"/>
      <c r="AK5" s="43"/>
      <c r="AL5" s="43"/>
      <c r="AM5" s="50"/>
      <c r="AN5" s="50"/>
      <c r="AO5" s="50"/>
      <c r="AP5" s="50"/>
      <c r="AQ5" s="50"/>
      <c r="AR5" s="1"/>
      <c r="AS5" s="1"/>
      <c r="AT5" s="51"/>
      <c r="AU5" s="51"/>
      <c r="AV5" s="51"/>
      <c r="AW5" s="51"/>
      <c r="AX5" s="51"/>
      <c r="AY5" s="51"/>
      <c r="AZ5" s="51"/>
      <c r="BA5" s="51"/>
      <c r="BB5" s="51"/>
      <c r="BC5" s="49"/>
      <c r="BD5" s="49"/>
      <c r="BE5" s="49"/>
      <c r="BF5" s="1"/>
      <c r="BI5" s="1"/>
    </row>
    <row r="6" spans="1:61" ht="15.75" customHeight="1" x14ac:dyDescent="0.5">
      <c r="A6" s="35" t="s">
        <v>262</v>
      </c>
      <c r="B6" s="35" t="s">
        <v>60</v>
      </c>
      <c r="C6" s="42">
        <f>1.1-D6</f>
        <v>1</v>
      </c>
      <c r="D6" s="42">
        <v>0.1</v>
      </c>
      <c r="E6" s="42">
        <f>1.3-F6</f>
        <v>1.1500000000000001</v>
      </c>
      <c r="F6" s="31">
        <v>0.15</v>
      </c>
      <c r="G6" s="42">
        <f>1.7-H6</f>
        <v>1.5</v>
      </c>
      <c r="H6" s="31">
        <v>0.2</v>
      </c>
      <c r="I6" s="34">
        <f>2-J6</f>
        <v>1.7</v>
      </c>
      <c r="J6" s="31">
        <v>0.3</v>
      </c>
      <c r="K6" s="34">
        <f t="shared" ref="K6:K10" si="4">1.5-L6</f>
        <v>1.2</v>
      </c>
      <c r="L6" s="31">
        <v>0.3</v>
      </c>
      <c r="M6" s="34">
        <f>1.25-N6</f>
        <v>0.95</v>
      </c>
      <c r="N6" s="31">
        <v>0.3</v>
      </c>
      <c r="O6" s="34" t="s">
        <v>76</v>
      </c>
      <c r="P6" s="31">
        <v>0.3</v>
      </c>
      <c r="Q6" s="43"/>
      <c r="R6" s="49"/>
      <c r="S6" s="41"/>
      <c r="T6" s="41"/>
      <c r="U6" s="41"/>
      <c r="V6" s="41"/>
      <c r="W6" s="41"/>
      <c r="X6" s="41"/>
      <c r="Y6" s="41"/>
      <c r="Z6" s="41"/>
      <c r="AA6" s="43"/>
      <c r="AB6" s="31" t="str">
        <f>K1</f>
        <v>Zone D</v>
      </c>
      <c r="AC6" s="33">
        <f t="shared" si="3"/>
        <v>11</v>
      </c>
      <c r="AD6" s="33">
        <v>0.3</v>
      </c>
      <c r="AE6" s="43"/>
      <c r="AF6" s="63" t="s">
        <v>67</v>
      </c>
      <c r="AG6" s="63">
        <v>0.5</v>
      </c>
      <c r="AH6" s="43"/>
      <c r="AI6" s="43"/>
      <c r="AJ6" s="43"/>
      <c r="AK6" s="43"/>
      <c r="AL6" s="43"/>
      <c r="AM6" s="50"/>
      <c r="AN6" s="50"/>
      <c r="AO6" s="50"/>
      <c r="AP6" s="50"/>
      <c r="AQ6" s="50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49"/>
      <c r="BD6" s="49"/>
      <c r="BE6" s="49"/>
      <c r="BF6" s="1"/>
      <c r="BI6" s="1"/>
    </row>
    <row r="7" spans="1:61" ht="15.75" customHeight="1" x14ac:dyDescent="0.5">
      <c r="A7" s="35" t="s">
        <v>263</v>
      </c>
      <c r="B7" s="35" t="s">
        <v>60</v>
      </c>
      <c r="C7" s="42">
        <f>0.8-D7</f>
        <v>0.70000000000000007</v>
      </c>
      <c r="D7" s="42">
        <v>0.1</v>
      </c>
      <c r="E7" s="42">
        <f>1.1-F7</f>
        <v>0.95000000000000007</v>
      </c>
      <c r="F7" s="31">
        <v>0.15</v>
      </c>
      <c r="G7" s="42">
        <f>1.3-H7</f>
        <v>1.1000000000000001</v>
      </c>
      <c r="H7" s="31">
        <v>0.2</v>
      </c>
      <c r="I7" s="34">
        <f>1.5-J7</f>
        <v>1.2</v>
      </c>
      <c r="J7" s="31">
        <v>0.3</v>
      </c>
      <c r="K7" s="34">
        <f t="shared" si="4"/>
        <v>1.2</v>
      </c>
      <c r="L7" s="31">
        <v>0.3</v>
      </c>
      <c r="M7" s="34">
        <f>1-N7</f>
        <v>0.7</v>
      </c>
      <c r="N7" s="31">
        <v>0.3</v>
      </c>
      <c r="O7" s="34" t="s">
        <v>76</v>
      </c>
      <c r="P7" s="31">
        <v>0.3</v>
      </c>
      <c r="Q7" s="43"/>
      <c r="R7" s="49"/>
      <c r="S7" s="41"/>
      <c r="T7" s="41"/>
      <c r="U7" s="41"/>
      <c r="V7" s="41"/>
      <c r="W7" s="41"/>
      <c r="X7" s="41"/>
      <c r="Y7" s="41"/>
      <c r="Z7" s="41"/>
      <c r="AA7" s="43"/>
      <c r="AB7" s="31" t="str">
        <f>M1</f>
        <v>Zone E</v>
      </c>
      <c r="AC7" s="33">
        <f t="shared" si="3"/>
        <v>13</v>
      </c>
      <c r="AD7" s="33">
        <v>0.3</v>
      </c>
      <c r="AE7" s="43"/>
      <c r="AF7" s="63" t="s">
        <v>68</v>
      </c>
      <c r="AG7" s="63">
        <v>1</v>
      </c>
      <c r="AH7" s="43"/>
      <c r="AI7" s="43"/>
      <c r="AJ7" s="43"/>
      <c r="AK7" s="43"/>
      <c r="AL7" s="43"/>
      <c r="AM7" s="50"/>
      <c r="AN7" s="50"/>
      <c r="AO7" s="50"/>
      <c r="AP7" s="50"/>
      <c r="AQ7" s="50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49"/>
      <c r="BD7" s="49"/>
      <c r="BE7" s="49"/>
      <c r="BF7" s="1"/>
      <c r="BI7" s="1"/>
    </row>
    <row r="8" spans="1:61" ht="15.75" customHeight="1" x14ac:dyDescent="0.5">
      <c r="A8" s="35" t="s">
        <v>264</v>
      </c>
      <c r="B8" s="35" t="s">
        <v>60</v>
      </c>
      <c r="C8" s="42">
        <f>1-D8</f>
        <v>0.9</v>
      </c>
      <c r="D8" s="42">
        <v>0.1</v>
      </c>
      <c r="E8" s="42">
        <f>1.3-F8</f>
        <v>1.1500000000000001</v>
      </c>
      <c r="F8" s="31">
        <v>0.15</v>
      </c>
      <c r="G8" s="42">
        <f>1.7-H8</f>
        <v>1.5</v>
      </c>
      <c r="H8" s="31">
        <v>0.2</v>
      </c>
      <c r="I8" s="34">
        <f>1.9-J8</f>
        <v>1.5999999999999999</v>
      </c>
      <c r="J8" s="31">
        <v>0.3</v>
      </c>
      <c r="K8" s="34">
        <f t="shared" si="4"/>
        <v>1.2</v>
      </c>
      <c r="L8" s="31">
        <v>0.3</v>
      </c>
      <c r="M8" s="34">
        <f t="shared" ref="M8:M11" si="5">1.5-N8</f>
        <v>1.2</v>
      </c>
      <c r="N8" s="31">
        <v>0.3</v>
      </c>
      <c r="O8" s="34">
        <f t="shared" ref="O8:O9" si="6">2-P8</f>
        <v>1.7</v>
      </c>
      <c r="P8" s="31">
        <v>0.3</v>
      </c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31" t="str">
        <f>O1</f>
        <v>Zone F</v>
      </c>
      <c r="AC8" s="33">
        <f t="shared" si="3"/>
        <v>15</v>
      </c>
      <c r="AD8" s="33">
        <v>0.3</v>
      </c>
      <c r="AE8" s="43"/>
      <c r="AF8" s="63" t="s">
        <v>69</v>
      </c>
      <c r="AG8" s="63">
        <v>1.3</v>
      </c>
      <c r="AH8" s="43"/>
      <c r="AI8" s="43"/>
      <c r="AJ8" s="43"/>
      <c r="AK8" s="43"/>
      <c r="AL8" s="43"/>
      <c r="AM8" s="50"/>
      <c r="AN8" s="50"/>
      <c r="AO8" s="50"/>
      <c r="AP8" s="50"/>
      <c r="AQ8" s="50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49"/>
      <c r="BD8" s="49"/>
      <c r="BE8" s="49"/>
      <c r="BF8" s="1"/>
      <c r="BI8" s="1"/>
    </row>
    <row r="9" spans="1:61" ht="15.75" customHeight="1" x14ac:dyDescent="0.5">
      <c r="A9" s="35" t="s">
        <v>265</v>
      </c>
      <c r="B9" s="35" t="s">
        <v>60</v>
      </c>
      <c r="C9" s="42">
        <f>0.7-D9</f>
        <v>0.6</v>
      </c>
      <c r="D9" s="42">
        <v>0.1</v>
      </c>
      <c r="E9" s="42">
        <f>1-F9</f>
        <v>0.85</v>
      </c>
      <c r="F9" s="31">
        <v>0.15</v>
      </c>
      <c r="G9" s="42">
        <f>1.4-H9</f>
        <v>1.2</v>
      </c>
      <c r="H9" s="31">
        <v>0.2</v>
      </c>
      <c r="I9" s="34">
        <f>1.7-J9</f>
        <v>1.4</v>
      </c>
      <c r="J9" s="31">
        <v>0.3</v>
      </c>
      <c r="K9" s="34">
        <f t="shared" si="4"/>
        <v>1.2</v>
      </c>
      <c r="L9" s="31">
        <v>0.3</v>
      </c>
      <c r="M9" s="34">
        <f t="shared" si="5"/>
        <v>1.2</v>
      </c>
      <c r="N9" s="31">
        <v>0.3</v>
      </c>
      <c r="O9" s="34">
        <f t="shared" si="6"/>
        <v>1.7</v>
      </c>
      <c r="P9" s="31">
        <v>0.3</v>
      </c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E9" s="43"/>
      <c r="AF9" s="63" t="s">
        <v>70</v>
      </c>
      <c r="AG9" s="63">
        <v>1.8</v>
      </c>
      <c r="AH9" s="43"/>
      <c r="AI9" s="43"/>
      <c r="AJ9" s="43"/>
      <c r="AK9" s="43"/>
      <c r="AL9" s="43"/>
      <c r="AM9" s="50"/>
      <c r="AN9" s="50"/>
      <c r="AO9" s="50"/>
      <c r="AP9" s="50"/>
      <c r="AQ9" s="50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49"/>
      <c r="BD9" s="49"/>
      <c r="BE9" s="49"/>
      <c r="BF9" s="1"/>
      <c r="BI9" s="1"/>
    </row>
    <row r="10" spans="1:61" ht="15.75" customHeight="1" x14ac:dyDescent="0.5">
      <c r="A10" s="35" t="s">
        <v>266</v>
      </c>
      <c r="B10" s="35" t="s">
        <v>60</v>
      </c>
      <c r="C10" s="42">
        <f>0.6-D10</f>
        <v>0.5</v>
      </c>
      <c r="D10" s="42">
        <v>0.1</v>
      </c>
      <c r="E10" s="42">
        <f>0.9-F10</f>
        <v>0.75</v>
      </c>
      <c r="F10" s="31">
        <v>0.15</v>
      </c>
      <c r="G10" s="42">
        <f>1.1-H10</f>
        <v>0.90000000000000013</v>
      </c>
      <c r="H10" s="31">
        <v>0.2</v>
      </c>
      <c r="I10" s="34">
        <f>1.3-J10</f>
        <v>1</v>
      </c>
      <c r="J10" s="31">
        <v>0.3</v>
      </c>
      <c r="K10" s="34">
        <f t="shared" si="4"/>
        <v>1.2</v>
      </c>
      <c r="L10" s="31">
        <v>0.3</v>
      </c>
      <c r="M10" s="34">
        <f t="shared" si="5"/>
        <v>1.2</v>
      </c>
      <c r="N10" s="31">
        <v>0.3</v>
      </c>
      <c r="O10" s="34" t="s">
        <v>76</v>
      </c>
      <c r="P10" s="31">
        <v>0.3</v>
      </c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E10" s="43"/>
      <c r="AF10" s="63" t="s">
        <v>72</v>
      </c>
      <c r="AG10" s="63">
        <v>1</v>
      </c>
      <c r="AH10" s="43"/>
      <c r="AI10" s="43"/>
      <c r="AJ10" s="43"/>
      <c r="AK10" s="43"/>
      <c r="AL10" s="43"/>
      <c r="AM10" s="50"/>
      <c r="AN10" s="50"/>
      <c r="AO10" s="50"/>
      <c r="AP10" s="50"/>
      <c r="AQ10" s="50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49"/>
      <c r="BD10" s="49"/>
      <c r="BE10" s="49"/>
      <c r="BF10" s="1"/>
      <c r="BI10" s="1"/>
    </row>
    <row r="11" spans="1:61" ht="15.75" customHeight="1" x14ac:dyDescent="0.5">
      <c r="A11" s="35" t="s">
        <v>267</v>
      </c>
      <c r="B11" s="35" t="s">
        <v>60</v>
      </c>
      <c r="C11" s="42">
        <f>0.9-D11</f>
        <v>0.8</v>
      </c>
      <c r="D11" s="42">
        <v>0.1</v>
      </c>
      <c r="E11" s="42">
        <f>1.2-F11</f>
        <v>1.05</v>
      </c>
      <c r="F11" s="31">
        <v>0.15</v>
      </c>
      <c r="G11" s="42">
        <f>1.6-H11</f>
        <v>1.4000000000000001</v>
      </c>
      <c r="H11" s="31">
        <v>0.2</v>
      </c>
      <c r="I11" s="34">
        <f>1.8-J11</f>
        <v>1.5</v>
      </c>
      <c r="J11" s="31">
        <v>0.3</v>
      </c>
      <c r="K11" s="34">
        <f>1.7-L11</f>
        <v>1.4</v>
      </c>
      <c r="L11" s="31">
        <v>0.3</v>
      </c>
      <c r="M11" s="34">
        <f t="shared" si="5"/>
        <v>1.2</v>
      </c>
      <c r="N11" s="31">
        <v>0.3</v>
      </c>
      <c r="O11" s="34" t="s">
        <v>76</v>
      </c>
      <c r="P11" s="31">
        <v>0.3</v>
      </c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E11" s="43"/>
      <c r="AF11" s="63" t="s">
        <v>20</v>
      </c>
      <c r="AG11" s="63">
        <v>0</v>
      </c>
      <c r="AH11" s="43"/>
      <c r="AI11" s="49"/>
      <c r="AJ11" s="49"/>
      <c r="AK11" s="50"/>
      <c r="AL11" s="50"/>
      <c r="AM11" s="50"/>
      <c r="AN11" s="50"/>
      <c r="AO11" s="50"/>
      <c r="AP11" s="50"/>
      <c r="AQ11" s="50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I11" s="1"/>
    </row>
    <row r="12" spans="1:61" ht="15.75" customHeight="1" x14ac:dyDescent="0.5">
      <c r="A12" s="35" t="s">
        <v>268</v>
      </c>
      <c r="B12" s="35" t="s">
        <v>60</v>
      </c>
      <c r="C12" s="42">
        <f>0.6-D12</f>
        <v>0.5</v>
      </c>
      <c r="D12" s="42">
        <v>0.1</v>
      </c>
      <c r="E12" s="42">
        <f>0.9-F12</f>
        <v>0.75</v>
      </c>
      <c r="F12" s="31">
        <v>0.15</v>
      </c>
      <c r="G12" s="42">
        <f>1.3-H12</f>
        <v>1.1000000000000001</v>
      </c>
      <c r="H12" s="31">
        <v>0.2</v>
      </c>
      <c r="I12" s="34">
        <f>1.6-J12</f>
        <v>1.3</v>
      </c>
      <c r="J12" s="31">
        <v>0.3</v>
      </c>
      <c r="K12" s="34">
        <f>1.3-L12</f>
        <v>1</v>
      </c>
      <c r="L12" s="31">
        <v>0.3</v>
      </c>
      <c r="M12" s="34">
        <f>1.25-N12</f>
        <v>0.95</v>
      </c>
      <c r="N12" s="31">
        <v>0.3</v>
      </c>
      <c r="O12" s="34" t="s">
        <v>76</v>
      </c>
      <c r="P12" s="31">
        <v>0.3</v>
      </c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7"/>
      <c r="AF12" s="43"/>
      <c r="AG12" s="43"/>
      <c r="AH12" s="43"/>
      <c r="AI12" s="49"/>
      <c r="AJ12" s="49"/>
      <c r="AK12" s="50"/>
      <c r="AL12" s="50"/>
      <c r="AM12" s="50"/>
      <c r="AN12" s="50"/>
      <c r="AO12" s="50"/>
      <c r="AP12" s="50"/>
      <c r="AQ12" s="50"/>
      <c r="AR12" s="1"/>
      <c r="AS12" s="1"/>
      <c r="AT12" s="51"/>
      <c r="AU12" s="51"/>
      <c r="AV12" s="51"/>
      <c r="AW12" s="51"/>
      <c r="AX12" s="51"/>
      <c r="AY12" s="51"/>
      <c r="AZ12" s="51"/>
      <c r="BA12" s="51"/>
      <c r="BB12" s="51"/>
      <c r="BC12" s="1"/>
      <c r="BD12" s="1"/>
      <c r="BE12" s="1"/>
      <c r="BF12" s="1"/>
      <c r="BG12" s="1"/>
      <c r="BH12" s="1"/>
      <c r="BI12" s="1"/>
    </row>
    <row r="13" spans="1:61" ht="15.75" customHeight="1" x14ac:dyDescent="0.5">
      <c r="A13" s="35" t="s">
        <v>269</v>
      </c>
      <c r="B13" s="35" t="s">
        <v>60</v>
      </c>
      <c r="C13" s="42">
        <f>0.5-D13</f>
        <v>0.4</v>
      </c>
      <c r="D13" s="42">
        <v>0.1</v>
      </c>
      <c r="E13" s="42">
        <f>0.8-F13</f>
        <v>0.65</v>
      </c>
      <c r="F13" s="31">
        <v>0.15</v>
      </c>
      <c r="G13" s="42">
        <f>1-H13</f>
        <v>0.8</v>
      </c>
      <c r="H13" s="31">
        <v>0.2</v>
      </c>
      <c r="I13" s="34">
        <f>1.2-J13</f>
        <v>0.89999999999999991</v>
      </c>
      <c r="J13" s="31">
        <v>0.3</v>
      </c>
      <c r="K13" s="34">
        <f>1-L13</f>
        <v>0.7</v>
      </c>
      <c r="L13" s="31">
        <v>0.3</v>
      </c>
      <c r="M13" s="34">
        <f>1-N13</f>
        <v>0.7</v>
      </c>
      <c r="N13" s="31">
        <v>0.3</v>
      </c>
      <c r="O13" s="34" t="s">
        <v>76</v>
      </c>
      <c r="P13" s="31">
        <v>0.3</v>
      </c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7"/>
      <c r="AF13" s="43"/>
      <c r="AG13" s="43"/>
      <c r="AH13" s="43"/>
      <c r="AI13" s="49"/>
      <c r="AJ13" s="49"/>
      <c r="AK13" s="50"/>
      <c r="AL13" s="50"/>
      <c r="AM13" s="50"/>
      <c r="AN13" s="50"/>
      <c r="AO13" s="50"/>
      <c r="AP13" s="50"/>
      <c r="AQ13" s="50"/>
      <c r="AR13" s="1"/>
      <c r="AS13" s="1"/>
      <c r="AT13" s="51"/>
      <c r="AU13" s="51"/>
      <c r="AV13" s="51"/>
      <c r="AW13" s="51"/>
      <c r="AX13" s="51"/>
      <c r="AY13" s="51"/>
      <c r="AZ13" s="51"/>
      <c r="BA13" s="51"/>
      <c r="BB13" s="51"/>
      <c r="BC13" s="1"/>
      <c r="BD13" s="1"/>
      <c r="BE13" s="1"/>
      <c r="BF13" s="1"/>
      <c r="BG13" s="1"/>
      <c r="BH13" s="1"/>
      <c r="BI13" s="1"/>
    </row>
    <row r="14" spans="1:61" ht="15.75" customHeight="1" x14ac:dyDescent="0.5">
      <c r="A14" s="35" t="s">
        <v>227</v>
      </c>
      <c r="B14" s="35" t="s">
        <v>60</v>
      </c>
      <c r="C14" s="42">
        <f>0.3-D14</f>
        <v>0.19999999999999998</v>
      </c>
      <c r="D14" s="42">
        <v>0.1</v>
      </c>
      <c r="E14" s="42">
        <f>0.6-F14</f>
        <v>0.44999999999999996</v>
      </c>
      <c r="F14" s="31">
        <v>0.15</v>
      </c>
      <c r="G14" s="42">
        <f>0.8-H14</f>
        <v>0.60000000000000009</v>
      </c>
      <c r="H14" s="31">
        <v>0.2</v>
      </c>
      <c r="I14" s="34">
        <f>1-J14</f>
        <v>0.7</v>
      </c>
      <c r="J14" s="31">
        <v>0.3</v>
      </c>
      <c r="K14" s="34">
        <f t="shared" ref="K14:K15" si="7">0.7-L14</f>
        <v>0.39999999999999997</v>
      </c>
      <c r="L14" s="31">
        <v>0.3</v>
      </c>
      <c r="M14" s="34" t="s">
        <v>76</v>
      </c>
      <c r="N14" s="31">
        <v>0.3</v>
      </c>
      <c r="O14" s="34" t="s">
        <v>76</v>
      </c>
      <c r="P14" s="31">
        <v>0.3</v>
      </c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7"/>
      <c r="AF14" s="43"/>
      <c r="AG14" s="43"/>
      <c r="AH14" s="43"/>
      <c r="AI14" s="49"/>
      <c r="AJ14" s="49"/>
      <c r="AK14" s="50"/>
      <c r="AL14" s="50"/>
      <c r="AM14" s="50"/>
      <c r="AN14" s="50"/>
      <c r="AO14" s="50"/>
      <c r="AP14" s="50"/>
      <c r="AQ14" s="50"/>
      <c r="AR14" s="1"/>
      <c r="AS14" s="1"/>
      <c r="AT14" s="51"/>
      <c r="AU14" s="51"/>
      <c r="AV14" s="51"/>
      <c r="AW14" s="51"/>
      <c r="AX14" s="51"/>
      <c r="AY14" s="51"/>
      <c r="AZ14" s="51"/>
      <c r="BA14" s="51"/>
      <c r="BB14" s="51"/>
      <c r="BC14" s="1"/>
      <c r="BD14" s="1"/>
      <c r="BE14" s="1"/>
      <c r="BF14" s="1"/>
      <c r="BG14" s="1"/>
      <c r="BH14" s="1"/>
      <c r="BI14" s="1"/>
    </row>
    <row r="15" spans="1:61" ht="15.75" customHeight="1" x14ac:dyDescent="0.5">
      <c r="A15" s="35" t="s">
        <v>228</v>
      </c>
      <c r="B15" s="35" t="s">
        <v>75</v>
      </c>
      <c r="C15" s="42">
        <f>0.1-D15</f>
        <v>0</v>
      </c>
      <c r="D15" s="42">
        <v>0.1</v>
      </c>
      <c r="E15" s="42">
        <f>0.3-F15</f>
        <v>0.15</v>
      </c>
      <c r="F15" s="31">
        <v>0.15</v>
      </c>
      <c r="G15" s="42">
        <f>0.7-H15</f>
        <v>0.49999999999999994</v>
      </c>
      <c r="H15" s="31">
        <v>0.2</v>
      </c>
      <c r="I15" s="34">
        <f>0.8-J15</f>
        <v>0.5</v>
      </c>
      <c r="J15" s="31">
        <v>0.3</v>
      </c>
      <c r="K15" s="34">
        <f t="shared" si="7"/>
        <v>0.39999999999999997</v>
      </c>
      <c r="L15" s="31">
        <v>0.3</v>
      </c>
      <c r="M15" s="34" t="s">
        <v>76</v>
      </c>
      <c r="N15" s="31">
        <v>0.3</v>
      </c>
      <c r="O15" s="34" t="s">
        <v>76</v>
      </c>
      <c r="P15" s="31">
        <v>0.3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7"/>
      <c r="AF15" s="43"/>
      <c r="AG15" s="43"/>
      <c r="AH15" s="43"/>
      <c r="AI15" s="49"/>
      <c r="AJ15" s="49"/>
      <c r="AK15" s="50"/>
      <c r="AL15" s="50"/>
      <c r="AM15" s="50"/>
      <c r="AN15" s="50"/>
      <c r="AO15" s="50"/>
      <c r="AP15" s="50"/>
      <c r="AQ15" s="50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ht="15.75" customHeight="1" x14ac:dyDescent="0.5">
      <c r="A16" s="35" t="s">
        <v>71</v>
      </c>
      <c r="B16" s="35" t="s">
        <v>60</v>
      </c>
      <c r="C16" s="42">
        <f>0.2-D16</f>
        <v>0.1</v>
      </c>
      <c r="D16" s="42">
        <v>0.1</v>
      </c>
      <c r="E16" s="42">
        <f t="shared" ref="E16:E17" si="8">0.5-F16</f>
        <v>0.35</v>
      </c>
      <c r="F16" s="31">
        <v>0.15</v>
      </c>
      <c r="G16" s="42">
        <f>1.1-H16</f>
        <v>0.90000000000000013</v>
      </c>
      <c r="H16" s="31">
        <v>0.2</v>
      </c>
      <c r="I16" s="34">
        <f>1.2-J16</f>
        <v>0.89999999999999991</v>
      </c>
      <c r="J16" s="31">
        <v>0.3</v>
      </c>
      <c r="K16" s="34">
        <f>1.1-L16</f>
        <v>0.8</v>
      </c>
      <c r="L16" s="31">
        <v>0.3</v>
      </c>
      <c r="M16" s="34" t="s">
        <v>76</v>
      </c>
      <c r="N16" s="31">
        <v>0.3</v>
      </c>
      <c r="O16" s="34" t="s">
        <v>76</v>
      </c>
      <c r="P16" s="31">
        <v>0.3</v>
      </c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7"/>
      <c r="AF16" s="43"/>
      <c r="AG16" s="43"/>
      <c r="AH16" s="43"/>
      <c r="AI16" s="49"/>
      <c r="AJ16" s="49"/>
      <c r="AK16" s="50"/>
      <c r="AL16" s="50"/>
      <c r="AM16" s="50"/>
      <c r="AN16" s="50"/>
      <c r="AO16" s="50"/>
      <c r="AP16" s="50"/>
      <c r="AQ16" s="50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ht="15.75" customHeight="1" x14ac:dyDescent="0.5">
      <c r="A17" s="35" t="s">
        <v>73</v>
      </c>
      <c r="B17" s="35" t="s">
        <v>60</v>
      </c>
      <c r="C17" s="42">
        <f>0.2-D18</f>
        <v>0.1</v>
      </c>
      <c r="D17" s="42">
        <v>0.1</v>
      </c>
      <c r="E17" s="42">
        <f t="shared" si="8"/>
        <v>0.35</v>
      </c>
      <c r="F17" s="31">
        <v>0.15</v>
      </c>
      <c r="G17" s="42">
        <f>0.5-H17</f>
        <v>0.3</v>
      </c>
      <c r="H17" s="31">
        <v>0.2</v>
      </c>
      <c r="I17" s="34">
        <f>0.5-J17</f>
        <v>0.2</v>
      </c>
      <c r="J17" s="31">
        <v>0.3</v>
      </c>
      <c r="K17" s="34">
        <f>0.7-L17</f>
        <v>0.39999999999999997</v>
      </c>
      <c r="L17" s="31">
        <v>0.3</v>
      </c>
      <c r="M17" s="34">
        <f>0.6-N17</f>
        <v>0.3</v>
      </c>
      <c r="N17" s="31">
        <v>0.3</v>
      </c>
      <c r="O17" s="34" t="s">
        <v>76</v>
      </c>
      <c r="P17" s="31">
        <v>0.3</v>
      </c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7"/>
      <c r="AB17" s="43"/>
      <c r="AC17" s="43"/>
      <c r="AD17" s="43"/>
      <c r="AF17" s="43"/>
      <c r="AG17" s="43"/>
      <c r="AH17" s="43"/>
      <c r="AI17" s="49"/>
      <c r="AJ17" s="49"/>
      <c r="AK17" s="50"/>
      <c r="AL17" s="50"/>
      <c r="AM17" s="50"/>
      <c r="AN17" s="50"/>
      <c r="AO17" s="50"/>
      <c r="AP17" s="50"/>
      <c r="AQ17" s="50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ht="15.75" customHeight="1" x14ac:dyDescent="0.5">
      <c r="A18" s="35" t="s">
        <v>229</v>
      </c>
      <c r="B18" s="35" t="s">
        <v>60</v>
      </c>
      <c r="C18" s="42">
        <v>0.2</v>
      </c>
      <c r="D18" s="42">
        <v>0.1</v>
      </c>
      <c r="E18" s="42">
        <f>0.1-F18</f>
        <v>-4.9999999999999989E-2</v>
      </c>
      <c r="F18" s="31">
        <v>0.15</v>
      </c>
      <c r="G18" s="42">
        <f>0.6-H18</f>
        <v>0.39999999999999997</v>
      </c>
      <c r="H18" s="31">
        <v>0.2</v>
      </c>
      <c r="I18" s="34">
        <f>0.7-J18</f>
        <v>0.39999999999999997</v>
      </c>
      <c r="J18" s="31">
        <v>0.3</v>
      </c>
      <c r="K18" s="34">
        <f>1-L18</f>
        <v>0.7</v>
      </c>
      <c r="L18" s="31">
        <v>0.3</v>
      </c>
      <c r="M18" s="34" t="s">
        <v>76</v>
      </c>
      <c r="N18" s="31">
        <v>0.3</v>
      </c>
      <c r="O18" s="34" t="s">
        <v>76</v>
      </c>
      <c r="P18" s="31">
        <v>0.3</v>
      </c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7"/>
      <c r="AB18" s="43"/>
      <c r="AC18" s="43"/>
      <c r="AD18" s="43"/>
      <c r="AF18" s="43"/>
      <c r="AG18" s="43"/>
      <c r="AH18" s="43"/>
      <c r="AI18" s="49"/>
      <c r="AJ18" s="49"/>
      <c r="AK18" s="50"/>
      <c r="AL18" s="50"/>
      <c r="AM18" s="50"/>
      <c r="AN18" s="50"/>
      <c r="AO18" s="50"/>
      <c r="AP18" s="50"/>
      <c r="AQ18" s="50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ht="15.75" customHeight="1" x14ac:dyDescent="0.5">
      <c r="A19" s="49"/>
      <c r="B19" s="43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43"/>
      <c r="R19" s="43"/>
      <c r="S19" s="43">
        <v>19</v>
      </c>
      <c r="T19" s="43">
        <f t="shared" ref="T19:Z19" si="9">S19+1</f>
        <v>20</v>
      </c>
      <c r="U19" s="43">
        <f t="shared" si="9"/>
        <v>21</v>
      </c>
      <c r="V19" s="43">
        <f t="shared" si="9"/>
        <v>22</v>
      </c>
      <c r="W19" s="43">
        <f t="shared" si="9"/>
        <v>23</v>
      </c>
      <c r="X19" s="43">
        <f t="shared" si="9"/>
        <v>24</v>
      </c>
      <c r="Y19" s="43">
        <f t="shared" si="9"/>
        <v>25</v>
      </c>
      <c r="Z19" s="43">
        <f t="shared" si="9"/>
        <v>26</v>
      </c>
      <c r="AA19" s="47"/>
      <c r="AB19" s="43"/>
      <c r="AC19" s="43"/>
      <c r="AD19" s="43"/>
      <c r="AF19" s="43"/>
      <c r="AG19" s="43"/>
      <c r="AH19" s="43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ht="15.75" customHeight="1" x14ac:dyDescent="0.5">
      <c r="A20" s="55" t="s">
        <v>77</v>
      </c>
      <c r="B20" s="39" t="s">
        <v>6</v>
      </c>
      <c r="C20" s="161" t="s">
        <v>48</v>
      </c>
      <c r="D20" s="162"/>
      <c r="E20" s="161" t="s">
        <v>49</v>
      </c>
      <c r="F20" s="162"/>
      <c r="G20" s="161" t="s">
        <v>18</v>
      </c>
      <c r="H20" s="162"/>
      <c r="I20" s="161" t="s">
        <v>50</v>
      </c>
      <c r="J20" s="162"/>
      <c r="K20" s="161" t="s">
        <v>51</v>
      </c>
      <c r="L20" s="162"/>
      <c r="M20" s="161" t="s">
        <v>52</v>
      </c>
      <c r="N20" s="162"/>
      <c r="O20" s="161" t="s">
        <v>53</v>
      </c>
      <c r="P20" s="162"/>
      <c r="Q20" s="43"/>
      <c r="R20" s="39" t="s">
        <v>54</v>
      </c>
      <c r="S20" s="39" t="s">
        <v>10</v>
      </c>
      <c r="T20" s="39" t="s">
        <v>11</v>
      </c>
      <c r="U20" s="39" t="s">
        <v>12</v>
      </c>
      <c r="V20" s="39" t="s">
        <v>13</v>
      </c>
      <c r="W20" s="39" t="s">
        <v>14</v>
      </c>
      <c r="X20" s="39" t="s">
        <v>15</v>
      </c>
      <c r="Y20" s="39" t="s">
        <v>16</v>
      </c>
      <c r="Z20" s="39" t="s">
        <v>17</v>
      </c>
      <c r="AA20" s="47"/>
      <c r="AB20" s="43"/>
      <c r="AC20" s="43"/>
      <c r="AD20" s="43"/>
      <c r="AF20" s="43"/>
      <c r="AG20" s="43"/>
      <c r="AH20" s="43"/>
      <c r="AI20" s="48"/>
      <c r="AJ20" s="40"/>
      <c r="AK20" s="40"/>
      <c r="AL20" s="40"/>
      <c r="AM20" s="40"/>
      <c r="AN20" s="40"/>
      <c r="AO20" s="40"/>
      <c r="AP20" s="40"/>
      <c r="AQ20" s="40"/>
      <c r="AR20" s="1"/>
      <c r="AS20" s="40"/>
      <c r="AT20" s="40"/>
      <c r="AU20" s="40"/>
      <c r="AV20" s="40"/>
      <c r="AW20" s="40"/>
      <c r="AX20" s="40"/>
      <c r="AY20" s="40"/>
      <c r="AZ20" s="40"/>
      <c r="BA20" s="40"/>
      <c r="BB20" s="1"/>
      <c r="BC20" s="1"/>
      <c r="BD20" s="1"/>
      <c r="BE20" s="1"/>
      <c r="BF20" s="1"/>
      <c r="BG20" s="1"/>
      <c r="BH20" s="1"/>
      <c r="BI20" s="1"/>
    </row>
    <row r="21" spans="1:61" ht="15.75" customHeight="1" x14ac:dyDescent="0.5">
      <c r="A21" s="46" t="s">
        <v>78</v>
      </c>
      <c r="B21" s="35" t="s">
        <v>79</v>
      </c>
      <c r="C21" s="34">
        <v>1.1000000000000001</v>
      </c>
      <c r="D21" s="38"/>
      <c r="E21" s="34">
        <v>1.1000000000000001</v>
      </c>
      <c r="F21" s="38"/>
      <c r="G21" s="34">
        <v>1.9</v>
      </c>
      <c r="H21" s="38"/>
      <c r="I21" s="34">
        <v>2.5</v>
      </c>
      <c r="J21" s="38"/>
      <c r="K21" s="34">
        <v>1.8</v>
      </c>
      <c r="L21" s="38"/>
      <c r="M21" s="34">
        <v>1.8</v>
      </c>
      <c r="N21" s="34"/>
      <c r="O21" s="35" t="s">
        <v>76</v>
      </c>
      <c r="P21" s="38"/>
      <c r="Q21" s="43"/>
      <c r="R21" s="35" t="s">
        <v>80</v>
      </c>
      <c r="S21" s="37">
        <v>1</v>
      </c>
      <c r="T21" s="37">
        <v>1</v>
      </c>
      <c r="U21" s="37">
        <v>0.05</v>
      </c>
      <c r="V21" s="37">
        <v>0</v>
      </c>
      <c r="W21" s="37">
        <v>0.05</v>
      </c>
      <c r="X21" s="37">
        <v>0</v>
      </c>
      <c r="Y21" s="37">
        <v>0</v>
      </c>
      <c r="Z21" s="37">
        <v>0</v>
      </c>
      <c r="AA21" s="47"/>
      <c r="AB21" s="43"/>
      <c r="AC21" s="43"/>
      <c r="AD21" s="43"/>
      <c r="AE21" s="43"/>
      <c r="AF21" s="43"/>
      <c r="AG21" s="43"/>
      <c r="AH21" s="43"/>
      <c r="AI21" s="48"/>
      <c r="AJ21" s="40"/>
      <c r="AK21" s="40"/>
      <c r="AL21" s="40"/>
      <c r="AM21" s="40"/>
      <c r="AN21" s="40"/>
      <c r="AO21" s="40"/>
      <c r="AP21" s="40"/>
      <c r="AQ21" s="40"/>
      <c r="AR21" s="1"/>
      <c r="AS21" s="40"/>
      <c r="AT21" s="40"/>
      <c r="AU21" s="40"/>
      <c r="AV21" s="40"/>
      <c r="AW21" s="40"/>
      <c r="AX21" s="40"/>
      <c r="AY21" s="40"/>
      <c r="AZ21" s="40"/>
      <c r="BA21" s="40"/>
      <c r="BB21" s="1"/>
      <c r="BC21" s="1"/>
      <c r="BD21" s="1"/>
      <c r="BE21" s="1"/>
      <c r="BF21" s="1"/>
      <c r="BG21" s="1"/>
      <c r="BH21" s="1"/>
      <c r="BI21" s="1"/>
    </row>
    <row r="22" spans="1:61" ht="15.75" customHeight="1" x14ac:dyDescent="0.5">
      <c r="A22" s="46" t="s">
        <v>81</v>
      </c>
      <c r="B22" s="35" t="s">
        <v>79</v>
      </c>
      <c r="C22" s="34">
        <v>1.5</v>
      </c>
      <c r="D22" s="38"/>
      <c r="E22" s="34">
        <v>1.5</v>
      </c>
      <c r="F22" s="38"/>
      <c r="G22" s="34">
        <v>2.2999999999999998</v>
      </c>
      <c r="H22" s="38"/>
      <c r="I22" s="34">
        <v>3.5</v>
      </c>
      <c r="J22" s="38"/>
      <c r="K22" s="34">
        <v>2.4</v>
      </c>
      <c r="L22" s="38"/>
      <c r="M22" s="34">
        <v>2.4</v>
      </c>
      <c r="N22" s="34"/>
      <c r="O22" s="35" t="s">
        <v>76</v>
      </c>
      <c r="P22" s="38"/>
      <c r="Q22" s="43"/>
      <c r="R22" s="35" t="s">
        <v>80</v>
      </c>
      <c r="S22" s="37">
        <v>1</v>
      </c>
      <c r="T22" s="37">
        <v>1</v>
      </c>
      <c r="U22" s="37">
        <v>0.05</v>
      </c>
      <c r="V22" s="37">
        <v>0</v>
      </c>
      <c r="W22" s="37">
        <v>0.05</v>
      </c>
      <c r="X22" s="37">
        <v>0</v>
      </c>
      <c r="Y22" s="37">
        <v>0</v>
      </c>
      <c r="Z22" s="37">
        <v>0</v>
      </c>
      <c r="AA22" s="47"/>
      <c r="AB22" s="43"/>
      <c r="AC22" s="43"/>
      <c r="AD22" s="43"/>
      <c r="AE22" s="43"/>
      <c r="AF22" s="43"/>
      <c r="AG22" s="43"/>
      <c r="AH22" s="43"/>
      <c r="AI22" s="49"/>
      <c r="AJ22" s="49"/>
      <c r="AK22" s="50"/>
      <c r="AL22" s="50"/>
      <c r="AM22" s="50"/>
      <c r="AN22" s="50"/>
      <c r="AO22" s="50"/>
      <c r="AP22" s="50"/>
      <c r="AQ22" s="50"/>
      <c r="AR22" s="1"/>
      <c r="AS22" s="49"/>
      <c r="AT22" s="41"/>
      <c r="AU22" s="41"/>
      <c r="AV22" s="41"/>
      <c r="AW22" s="41"/>
      <c r="AX22" s="41"/>
      <c r="AY22" s="41"/>
      <c r="AZ22" s="41"/>
      <c r="BA22" s="41"/>
      <c r="BB22" s="51"/>
      <c r="BC22" s="1"/>
      <c r="BD22" s="1"/>
      <c r="BE22" s="1"/>
      <c r="BF22" s="1"/>
      <c r="BG22" s="1"/>
      <c r="BH22" s="1"/>
      <c r="BI22" s="1"/>
    </row>
    <row r="23" spans="1:61" ht="15.75" customHeight="1" x14ac:dyDescent="0.5">
      <c r="A23" s="46" t="s">
        <v>232</v>
      </c>
      <c r="B23" s="35" t="s">
        <v>79</v>
      </c>
      <c r="C23" s="34">
        <v>1.5</v>
      </c>
      <c r="D23" s="38"/>
      <c r="E23" s="34">
        <v>1.5</v>
      </c>
      <c r="F23" s="38"/>
      <c r="G23" s="34">
        <v>2.2999999999999998</v>
      </c>
      <c r="H23" s="38"/>
      <c r="I23" s="34">
        <v>3.5</v>
      </c>
      <c r="J23" s="38"/>
      <c r="K23" s="34">
        <v>2.4</v>
      </c>
      <c r="L23" s="38"/>
      <c r="M23" s="34">
        <v>2.4</v>
      </c>
      <c r="N23" s="34"/>
      <c r="O23" s="35" t="s">
        <v>76</v>
      </c>
      <c r="P23" s="38"/>
      <c r="Q23" s="43"/>
      <c r="R23" s="35" t="s">
        <v>80</v>
      </c>
      <c r="S23" s="37">
        <v>1</v>
      </c>
      <c r="T23" s="37">
        <v>1</v>
      </c>
      <c r="U23" s="37">
        <v>0.05</v>
      </c>
      <c r="V23" s="37">
        <v>0</v>
      </c>
      <c r="W23" s="37">
        <v>0.05</v>
      </c>
      <c r="X23" s="37">
        <v>1</v>
      </c>
      <c r="Y23" s="37">
        <v>0</v>
      </c>
      <c r="Z23" s="37">
        <v>0</v>
      </c>
      <c r="AA23" s="43"/>
      <c r="AB23" s="43"/>
      <c r="AC23" s="43"/>
      <c r="AD23" s="43"/>
      <c r="AE23" s="43"/>
      <c r="AF23" s="43"/>
      <c r="AG23" s="43"/>
      <c r="AH23" s="43"/>
      <c r="AI23" s="49"/>
      <c r="AJ23" s="49"/>
      <c r="AK23" s="50"/>
      <c r="AL23" s="50"/>
      <c r="AM23" s="50"/>
      <c r="AN23" s="50"/>
      <c r="AO23" s="50"/>
      <c r="AP23" s="50"/>
      <c r="AQ23" s="50"/>
      <c r="AR23" s="1"/>
      <c r="AS23" s="49"/>
      <c r="AT23" s="41"/>
      <c r="AU23" s="41"/>
      <c r="AV23" s="41"/>
      <c r="AW23" s="41"/>
      <c r="AX23" s="41"/>
      <c r="AY23" s="41"/>
      <c r="AZ23" s="41"/>
      <c r="BA23" s="41"/>
      <c r="BB23" s="51"/>
      <c r="BC23" s="1"/>
      <c r="BD23" s="1"/>
      <c r="BE23" s="1"/>
      <c r="BF23" s="1"/>
      <c r="BG23" s="1"/>
      <c r="BH23" s="1"/>
      <c r="BI23" s="1"/>
    </row>
    <row r="24" spans="1:61" ht="15.75" customHeight="1" x14ac:dyDescent="0.5">
      <c r="A24" s="46" t="s">
        <v>82</v>
      </c>
      <c r="B24" s="35" t="s">
        <v>79</v>
      </c>
      <c r="C24" s="34">
        <v>1.3</v>
      </c>
      <c r="D24" s="38"/>
      <c r="E24" s="34">
        <v>1.3</v>
      </c>
      <c r="F24" s="38"/>
      <c r="G24" s="34">
        <v>1.9</v>
      </c>
      <c r="H24" s="38"/>
      <c r="I24" s="34">
        <v>2.2999999999999998</v>
      </c>
      <c r="J24" s="38"/>
      <c r="K24" s="34">
        <v>2.2999999999999998</v>
      </c>
      <c r="L24" s="38"/>
      <c r="M24" s="34">
        <v>2.2999999999999998</v>
      </c>
      <c r="N24" s="34"/>
      <c r="O24" s="35" t="s">
        <v>76</v>
      </c>
      <c r="P24" s="38"/>
      <c r="Q24" s="43"/>
      <c r="R24" s="35" t="s">
        <v>80</v>
      </c>
      <c r="S24" s="37">
        <v>1</v>
      </c>
      <c r="T24" s="37">
        <v>1</v>
      </c>
      <c r="U24" s="37">
        <v>0.05</v>
      </c>
      <c r="V24" s="37">
        <v>0</v>
      </c>
      <c r="W24" s="37">
        <v>0.05</v>
      </c>
      <c r="X24" s="37">
        <v>0</v>
      </c>
      <c r="Y24" s="37">
        <v>0</v>
      </c>
      <c r="Z24" s="37">
        <v>0</v>
      </c>
      <c r="AA24" s="43"/>
      <c r="AB24" s="43"/>
      <c r="AC24" s="43"/>
      <c r="AD24" s="43"/>
      <c r="AE24" s="43"/>
      <c r="AF24" s="43"/>
      <c r="AG24" s="43"/>
      <c r="AH24" s="43"/>
      <c r="AI24" s="49"/>
      <c r="AJ24" s="49"/>
      <c r="AK24" s="50"/>
      <c r="AL24" s="50"/>
      <c r="AM24" s="50"/>
      <c r="AN24" s="50"/>
      <c r="AO24" s="50"/>
      <c r="AP24" s="50"/>
      <c r="AQ24" s="50"/>
      <c r="AR24" s="1"/>
      <c r="AS24" s="49"/>
      <c r="AT24" s="41"/>
      <c r="AU24" s="41"/>
      <c r="AV24" s="41"/>
      <c r="AW24" s="41"/>
      <c r="AX24" s="41"/>
      <c r="AY24" s="41"/>
      <c r="AZ24" s="41"/>
      <c r="BA24" s="41"/>
      <c r="BB24" s="51"/>
      <c r="BC24" s="1"/>
      <c r="BD24" s="1"/>
      <c r="BE24" s="1"/>
      <c r="BF24" s="1"/>
      <c r="BG24" s="1"/>
      <c r="BH24" s="1"/>
      <c r="BI24" s="1"/>
    </row>
    <row r="25" spans="1:61" ht="15.75" customHeight="1" x14ac:dyDescent="0.5">
      <c r="A25" s="46" t="s">
        <v>83</v>
      </c>
      <c r="B25" s="35" t="s">
        <v>79</v>
      </c>
      <c r="C25" s="34">
        <v>0.6</v>
      </c>
      <c r="D25" s="38"/>
      <c r="E25" s="34">
        <v>0.6</v>
      </c>
      <c r="F25" s="38"/>
      <c r="G25" s="34">
        <v>0.8</v>
      </c>
      <c r="H25" s="38"/>
      <c r="I25" s="34">
        <v>1</v>
      </c>
      <c r="J25" s="38"/>
      <c r="K25" s="34">
        <v>0.7</v>
      </c>
      <c r="L25" s="38"/>
      <c r="M25" s="34">
        <v>1.2</v>
      </c>
      <c r="N25" s="34"/>
      <c r="O25" s="35" t="s">
        <v>76</v>
      </c>
      <c r="P25" s="38"/>
      <c r="Q25" s="43"/>
      <c r="R25" s="35" t="s">
        <v>80</v>
      </c>
      <c r="S25" s="37">
        <v>1</v>
      </c>
      <c r="T25" s="37">
        <v>1</v>
      </c>
      <c r="U25" s="37">
        <v>0.05</v>
      </c>
      <c r="V25" s="37">
        <v>0</v>
      </c>
      <c r="W25" s="37">
        <v>0.05</v>
      </c>
      <c r="X25" s="37">
        <v>0</v>
      </c>
      <c r="Y25" s="37">
        <v>0</v>
      </c>
      <c r="Z25" s="37">
        <v>0</v>
      </c>
      <c r="AA25" s="43"/>
      <c r="AB25" s="43"/>
      <c r="AC25" s="43"/>
      <c r="AD25" s="43"/>
      <c r="AE25" s="43"/>
      <c r="AF25" s="43"/>
      <c r="AG25" s="43"/>
      <c r="AH25" s="43"/>
      <c r="AI25" s="49"/>
      <c r="AJ25" s="49"/>
      <c r="AK25" s="50"/>
      <c r="AL25" s="50"/>
      <c r="AM25" s="50"/>
      <c r="AN25" s="50"/>
      <c r="AO25" s="50"/>
      <c r="AP25" s="50"/>
      <c r="AQ25" s="50"/>
      <c r="AR25" s="1"/>
      <c r="AS25" s="49"/>
      <c r="AT25" s="41"/>
      <c r="AU25" s="41"/>
      <c r="AV25" s="41"/>
      <c r="AW25" s="41"/>
      <c r="AX25" s="41"/>
      <c r="AY25" s="41"/>
      <c r="AZ25" s="41"/>
      <c r="BA25" s="41"/>
      <c r="BB25" s="51"/>
      <c r="BC25" s="1"/>
      <c r="BD25" s="1"/>
      <c r="BE25" s="1"/>
      <c r="BF25" s="1"/>
      <c r="BG25" s="1"/>
      <c r="BH25" s="1"/>
      <c r="BI25" s="1"/>
    </row>
    <row r="26" spans="1:61" ht="15.75" customHeight="1" x14ac:dyDescent="0.5">
      <c r="A26" s="46" t="s">
        <v>233</v>
      </c>
      <c r="B26" s="35" t="s">
        <v>79</v>
      </c>
      <c r="C26" s="34">
        <v>1.3</v>
      </c>
      <c r="D26" s="38"/>
      <c r="E26" s="34">
        <v>1.3</v>
      </c>
      <c r="F26" s="38"/>
      <c r="G26" s="34">
        <v>2.8</v>
      </c>
      <c r="H26" s="38"/>
      <c r="I26" s="34">
        <v>3</v>
      </c>
      <c r="J26" s="38"/>
      <c r="K26" s="34">
        <v>3</v>
      </c>
      <c r="L26" s="38"/>
      <c r="M26" s="34">
        <v>1.7</v>
      </c>
      <c r="N26" s="34"/>
      <c r="O26" s="35" t="s">
        <v>76</v>
      </c>
      <c r="P26" s="38"/>
      <c r="Q26" s="43"/>
      <c r="R26" s="35" t="s">
        <v>80</v>
      </c>
      <c r="S26" s="37">
        <v>1</v>
      </c>
      <c r="T26" s="37">
        <v>1</v>
      </c>
      <c r="U26" s="37">
        <v>0.05</v>
      </c>
      <c r="V26" s="37">
        <v>0</v>
      </c>
      <c r="W26" s="37">
        <v>0.05</v>
      </c>
      <c r="X26" s="37">
        <v>0</v>
      </c>
      <c r="Y26" s="37">
        <v>0</v>
      </c>
      <c r="Z26" s="37">
        <v>0</v>
      </c>
      <c r="AA26" s="43"/>
      <c r="AB26" s="43"/>
      <c r="AC26" s="43"/>
      <c r="AD26" s="43"/>
      <c r="AE26" s="43"/>
      <c r="AF26" s="43"/>
      <c r="AG26" s="43"/>
      <c r="AH26" s="43"/>
      <c r="AI26" s="52"/>
      <c r="AJ26" s="49"/>
      <c r="AK26" s="50"/>
      <c r="AL26" s="50"/>
      <c r="AM26" s="50"/>
      <c r="AN26" s="50"/>
      <c r="AO26" s="50"/>
      <c r="AP26" s="50"/>
      <c r="AQ26" s="50"/>
      <c r="AR26" s="1"/>
      <c r="AS26" s="49"/>
      <c r="AT26" s="41"/>
      <c r="AU26" s="41"/>
      <c r="AV26" s="41"/>
      <c r="AW26" s="41"/>
      <c r="AX26" s="41"/>
      <c r="AY26" s="41"/>
      <c r="AZ26" s="41"/>
      <c r="BA26" s="41"/>
      <c r="BB26" s="51"/>
      <c r="BC26" s="1"/>
      <c r="BD26" s="1"/>
      <c r="BE26" s="1"/>
      <c r="BF26" s="1"/>
      <c r="BG26" s="1"/>
      <c r="BH26" s="1"/>
      <c r="BI26" s="1"/>
    </row>
    <row r="27" spans="1:61" ht="15.75" customHeight="1" x14ac:dyDescent="0.5">
      <c r="A27" s="49"/>
      <c r="B27" s="43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52"/>
      <c r="AJ27" s="49"/>
      <c r="AK27" s="50"/>
      <c r="AL27" s="50"/>
      <c r="AM27" s="50"/>
      <c r="AN27" s="50"/>
      <c r="AO27" s="50"/>
      <c r="AP27" s="50"/>
      <c r="AQ27" s="50"/>
      <c r="AR27" s="1"/>
      <c r="AS27" s="49"/>
      <c r="AT27" s="41"/>
      <c r="AU27" s="41"/>
      <c r="AV27" s="41"/>
      <c r="AW27" s="41"/>
      <c r="AX27" s="41"/>
      <c r="AY27" s="41"/>
      <c r="AZ27" s="41"/>
      <c r="BA27" s="41"/>
      <c r="BB27" s="51"/>
      <c r="BC27" s="1"/>
      <c r="BD27" s="1"/>
      <c r="BE27" s="1"/>
      <c r="BF27" s="1"/>
      <c r="BG27" s="1"/>
      <c r="BH27" s="1"/>
      <c r="BI27" s="1"/>
    </row>
    <row r="28" spans="1:61" ht="15.75" customHeight="1" x14ac:dyDescent="0.5">
      <c r="A28" s="55" t="s">
        <v>84</v>
      </c>
      <c r="B28" s="39" t="s">
        <v>6</v>
      </c>
      <c r="C28" s="161" t="s">
        <v>48</v>
      </c>
      <c r="D28" s="162"/>
      <c r="E28" s="161" t="s">
        <v>49</v>
      </c>
      <c r="F28" s="162"/>
      <c r="G28" s="161" t="s">
        <v>18</v>
      </c>
      <c r="H28" s="162"/>
      <c r="I28" s="161" t="s">
        <v>50</v>
      </c>
      <c r="J28" s="162"/>
      <c r="K28" s="161" t="s">
        <v>51</v>
      </c>
      <c r="L28" s="162"/>
      <c r="M28" s="161" t="s">
        <v>52</v>
      </c>
      <c r="N28" s="162"/>
      <c r="O28" s="161" t="s">
        <v>53</v>
      </c>
      <c r="P28" s="162"/>
      <c r="Q28" s="43"/>
      <c r="R28" s="39" t="s">
        <v>54</v>
      </c>
      <c r="S28" s="39" t="s">
        <v>10</v>
      </c>
      <c r="T28" s="39" t="s">
        <v>11</v>
      </c>
      <c r="U28" s="39" t="s">
        <v>12</v>
      </c>
      <c r="V28" s="39" t="s">
        <v>13</v>
      </c>
      <c r="W28" s="39" t="s">
        <v>14</v>
      </c>
      <c r="X28" s="39" t="s">
        <v>15</v>
      </c>
      <c r="Y28" s="39" t="s">
        <v>16</v>
      </c>
      <c r="Z28" s="39" t="s">
        <v>17</v>
      </c>
      <c r="AA28" s="43"/>
      <c r="AB28" s="43"/>
      <c r="AC28" s="43"/>
      <c r="AD28" s="43"/>
      <c r="AE28" s="43"/>
      <c r="AF28" s="43"/>
      <c r="AG28" s="43"/>
      <c r="AH28" s="43"/>
      <c r="AI28" s="52"/>
      <c r="AJ28" s="49"/>
      <c r="AK28" s="50"/>
      <c r="AL28" s="50"/>
      <c r="AM28" s="50"/>
      <c r="AN28" s="50"/>
      <c r="AO28" s="50"/>
      <c r="AP28" s="50"/>
      <c r="AQ28" s="50"/>
      <c r="AR28" s="1"/>
      <c r="AS28" s="49"/>
      <c r="AT28" s="41"/>
      <c r="AU28" s="41"/>
      <c r="AV28" s="41"/>
      <c r="AW28" s="41"/>
      <c r="AX28" s="41"/>
      <c r="AY28" s="41"/>
      <c r="AZ28" s="41"/>
      <c r="BA28" s="41"/>
      <c r="BB28" s="51"/>
      <c r="BC28" s="1"/>
      <c r="BD28" s="1"/>
      <c r="BE28" s="1"/>
      <c r="BF28" s="1"/>
      <c r="BG28" s="1"/>
      <c r="BH28" s="1"/>
      <c r="BI28" s="1"/>
    </row>
    <row r="29" spans="1:61" ht="15.75" customHeight="1" x14ac:dyDescent="0.5">
      <c r="A29" s="46" t="s">
        <v>234</v>
      </c>
      <c r="B29" s="35" t="s">
        <v>79</v>
      </c>
      <c r="C29" s="34">
        <v>1.9</v>
      </c>
      <c r="D29" s="38"/>
      <c r="E29" s="34">
        <v>1.9</v>
      </c>
      <c r="F29" s="38"/>
      <c r="G29" s="34">
        <v>2.7</v>
      </c>
      <c r="H29" s="38"/>
      <c r="I29" s="34">
        <v>4.0999999999999996</v>
      </c>
      <c r="J29" s="38"/>
      <c r="K29" s="34">
        <v>4.2</v>
      </c>
      <c r="L29" s="38"/>
      <c r="M29" s="34" t="s">
        <v>76</v>
      </c>
      <c r="N29" s="38"/>
      <c r="O29" s="34" t="s">
        <v>76</v>
      </c>
      <c r="P29" s="38"/>
      <c r="R29" s="35" t="s">
        <v>85</v>
      </c>
      <c r="S29" s="37">
        <v>0.3</v>
      </c>
      <c r="T29" s="37">
        <v>0.6</v>
      </c>
      <c r="U29" s="37">
        <v>0.4</v>
      </c>
      <c r="V29" s="37">
        <v>0</v>
      </c>
      <c r="W29" s="37">
        <v>0.8</v>
      </c>
      <c r="X29" s="37">
        <v>1</v>
      </c>
      <c r="Y29" s="37">
        <v>0.4</v>
      </c>
      <c r="Z29" s="37">
        <v>0.8</v>
      </c>
      <c r="AA29" s="47"/>
      <c r="AB29" s="43"/>
      <c r="AC29" s="43"/>
      <c r="AD29" s="43"/>
      <c r="AE29" s="43"/>
      <c r="AF29" s="43"/>
      <c r="AG29" s="43"/>
      <c r="AH29" s="43"/>
      <c r="AI29" s="52"/>
      <c r="AJ29" s="49"/>
      <c r="AK29" s="50"/>
      <c r="AL29" s="50"/>
      <c r="AM29" s="50"/>
      <c r="AN29" s="50"/>
      <c r="AO29" s="50"/>
      <c r="AP29" s="50"/>
      <c r="AQ29" s="50"/>
      <c r="AR29" s="1"/>
      <c r="AS29" s="49"/>
      <c r="AT29" s="41"/>
      <c r="AU29" s="41"/>
      <c r="AV29" s="41"/>
      <c r="AW29" s="41"/>
      <c r="AX29" s="41"/>
      <c r="AY29" s="41"/>
      <c r="AZ29" s="41"/>
      <c r="BA29" s="41"/>
      <c r="BB29" s="51"/>
      <c r="BC29" s="1"/>
      <c r="BD29" s="1"/>
      <c r="BE29" s="1"/>
      <c r="BF29" s="1"/>
      <c r="BG29" s="1"/>
      <c r="BH29" s="1"/>
      <c r="BI29" s="1"/>
    </row>
    <row r="30" spans="1:61" ht="15.75" customHeight="1" x14ac:dyDescent="0.5">
      <c r="A30" s="46" t="s">
        <v>235</v>
      </c>
      <c r="B30" s="35" t="s">
        <v>79</v>
      </c>
      <c r="C30" s="34">
        <v>4.3</v>
      </c>
      <c r="D30" s="38"/>
      <c r="E30" s="34">
        <v>4.3</v>
      </c>
      <c r="F30" s="38"/>
      <c r="G30" s="34">
        <v>4.9000000000000004</v>
      </c>
      <c r="H30" s="38"/>
      <c r="I30" s="34">
        <v>7.5</v>
      </c>
      <c r="J30" s="38"/>
      <c r="K30" s="34">
        <v>7.1</v>
      </c>
      <c r="L30" s="38"/>
      <c r="M30" s="34" t="s">
        <v>76</v>
      </c>
      <c r="N30" s="38"/>
      <c r="O30" s="34" t="s">
        <v>76</v>
      </c>
      <c r="P30" s="38"/>
      <c r="R30" s="35" t="s">
        <v>85</v>
      </c>
      <c r="S30" s="37">
        <v>0.3</v>
      </c>
      <c r="T30" s="37">
        <v>0.6</v>
      </c>
      <c r="U30" s="37">
        <v>0.4</v>
      </c>
      <c r="V30" s="37">
        <v>0</v>
      </c>
      <c r="W30" s="37">
        <v>0.8</v>
      </c>
      <c r="X30" s="37">
        <v>1</v>
      </c>
      <c r="Y30" s="37">
        <v>0.4</v>
      </c>
      <c r="Z30" s="37">
        <v>0.8</v>
      </c>
      <c r="AA30" s="47"/>
      <c r="AB30" s="43"/>
      <c r="AC30" s="43"/>
      <c r="AD30" s="43"/>
      <c r="AE30" s="43"/>
      <c r="AF30" s="43"/>
      <c r="AG30" s="43"/>
      <c r="AH30" s="43"/>
      <c r="AI30" s="49"/>
      <c r="AJ30" s="49"/>
      <c r="AK30" s="50"/>
      <c r="AL30" s="50"/>
      <c r="AM30" s="50"/>
      <c r="AN30" s="50"/>
      <c r="AO30" s="50"/>
      <c r="AP30" s="50"/>
      <c r="AQ30" s="50"/>
      <c r="AR30" s="1"/>
      <c r="AS30" s="49"/>
      <c r="AT30" s="41"/>
      <c r="AU30" s="41"/>
      <c r="AV30" s="41"/>
      <c r="AW30" s="41"/>
      <c r="AX30" s="41"/>
      <c r="AY30" s="41"/>
      <c r="AZ30" s="41"/>
      <c r="BA30" s="41"/>
      <c r="BB30" s="51"/>
      <c r="BC30" s="1"/>
      <c r="BD30" s="1"/>
      <c r="BE30" s="1"/>
      <c r="BF30" s="1"/>
      <c r="BG30" s="1"/>
      <c r="BH30" s="1"/>
      <c r="BI30" s="1"/>
    </row>
    <row r="31" spans="1:61" ht="15.75" customHeight="1" x14ac:dyDescent="0.5">
      <c r="A31" s="46" t="s">
        <v>236</v>
      </c>
      <c r="B31" s="35" t="s">
        <v>79</v>
      </c>
      <c r="C31" s="34">
        <v>2.6</v>
      </c>
      <c r="D31" s="38"/>
      <c r="E31" s="34">
        <v>2.6</v>
      </c>
      <c r="F31" s="38"/>
      <c r="G31" s="34">
        <v>4.3</v>
      </c>
      <c r="H31" s="38"/>
      <c r="I31" s="34">
        <v>5.9</v>
      </c>
      <c r="J31" s="38"/>
      <c r="K31" s="34">
        <v>6.1</v>
      </c>
      <c r="L31" s="38"/>
      <c r="M31" s="34">
        <v>5</v>
      </c>
      <c r="N31" s="38"/>
      <c r="O31" s="34" t="s">
        <v>76</v>
      </c>
      <c r="P31" s="38"/>
      <c r="R31" s="35" t="s">
        <v>85</v>
      </c>
      <c r="S31" s="37">
        <v>0.3</v>
      </c>
      <c r="T31" s="37">
        <v>0.6</v>
      </c>
      <c r="U31" s="37">
        <v>0.4</v>
      </c>
      <c r="V31" s="37">
        <v>0</v>
      </c>
      <c r="W31" s="37">
        <v>0.8</v>
      </c>
      <c r="X31" s="37">
        <v>1</v>
      </c>
      <c r="Y31" s="37">
        <v>0.4</v>
      </c>
      <c r="Z31" s="37">
        <v>0.8</v>
      </c>
      <c r="AA31" s="47"/>
      <c r="AB31" s="43"/>
      <c r="AC31" s="43"/>
      <c r="AD31" s="43"/>
      <c r="AE31" s="43"/>
      <c r="AF31" s="43"/>
      <c r="AG31" s="43"/>
      <c r="AH31" s="43"/>
      <c r="AI31" s="49"/>
      <c r="AJ31" s="49"/>
      <c r="AK31" s="50"/>
      <c r="AL31" s="50"/>
      <c r="AM31" s="50"/>
      <c r="AN31" s="50"/>
      <c r="AO31" s="50"/>
      <c r="AP31" s="50"/>
      <c r="AQ31" s="50"/>
      <c r="AR31" s="1"/>
      <c r="AS31" s="49"/>
      <c r="AT31" s="41"/>
      <c r="AU31" s="41"/>
      <c r="AV31" s="41"/>
      <c r="AW31" s="41"/>
      <c r="AX31" s="41"/>
      <c r="AY31" s="41"/>
      <c r="AZ31" s="41"/>
      <c r="BA31" s="41"/>
      <c r="BB31" s="51"/>
      <c r="BC31" s="1"/>
      <c r="BD31" s="1"/>
      <c r="BE31" s="1"/>
      <c r="BF31" s="1"/>
      <c r="BG31" s="1"/>
      <c r="BH31" s="1"/>
      <c r="BI31" s="1"/>
    </row>
    <row r="32" spans="1:61" ht="15.75" customHeight="1" x14ac:dyDescent="0.5">
      <c r="A32" s="46" t="s">
        <v>237</v>
      </c>
      <c r="B32" s="35" t="s">
        <v>79</v>
      </c>
      <c r="C32" s="34">
        <v>2.6</v>
      </c>
      <c r="D32" s="38"/>
      <c r="E32" s="34">
        <v>2.6</v>
      </c>
      <c r="F32" s="38"/>
      <c r="G32" s="34">
        <v>4.3</v>
      </c>
      <c r="H32" s="38"/>
      <c r="I32" s="34">
        <v>5.9</v>
      </c>
      <c r="J32" s="38"/>
      <c r="K32" s="34">
        <v>5.6</v>
      </c>
      <c r="L32" s="38"/>
      <c r="M32" s="34">
        <v>5</v>
      </c>
      <c r="N32" s="38"/>
      <c r="O32" s="34" t="s">
        <v>76</v>
      </c>
      <c r="P32" s="38"/>
      <c r="R32" s="35" t="s">
        <v>85</v>
      </c>
      <c r="S32" s="37">
        <v>0.3</v>
      </c>
      <c r="T32" s="37">
        <v>0.6</v>
      </c>
      <c r="U32" s="37">
        <v>0.4</v>
      </c>
      <c r="V32" s="37">
        <v>0</v>
      </c>
      <c r="W32" s="37">
        <v>0.8</v>
      </c>
      <c r="X32" s="37">
        <v>1</v>
      </c>
      <c r="Y32" s="37">
        <v>0.4</v>
      </c>
      <c r="Z32" s="37">
        <v>0.8</v>
      </c>
      <c r="AA32" s="47"/>
      <c r="AB32" s="43"/>
      <c r="AC32" s="43"/>
      <c r="AD32" s="43"/>
      <c r="AE32" s="43"/>
      <c r="AF32" s="43"/>
      <c r="AG32" s="43"/>
      <c r="AH32" s="43"/>
      <c r="AI32" s="49"/>
      <c r="AJ32" s="49"/>
      <c r="AK32" s="50"/>
      <c r="AL32" s="50"/>
      <c r="AM32" s="50"/>
      <c r="AN32" s="50"/>
      <c r="AO32" s="50"/>
      <c r="AP32" s="50"/>
      <c r="AQ32" s="50"/>
      <c r="AR32" s="1"/>
      <c r="AS32" s="49"/>
      <c r="AT32" s="41"/>
      <c r="AU32" s="41"/>
      <c r="AV32" s="41"/>
      <c r="AW32" s="41"/>
      <c r="AX32" s="41"/>
      <c r="AY32" s="41"/>
      <c r="AZ32" s="41"/>
      <c r="BA32" s="41"/>
      <c r="BB32" s="51"/>
      <c r="BC32" s="1"/>
      <c r="BD32" s="1"/>
      <c r="BE32" s="1"/>
      <c r="BF32" s="1"/>
      <c r="BG32" s="1"/>
      <c r="BH32" s="1"/>
      <c r="BI32" s="1"/>
    </row>
    <row r="33" spans="1:61" ht="15.75" customHeight="1" x14ac:dyDescent="0.5">
      <c r="A33" s="58" t="s">
        <v>238</v>
      </c>
      <c r="B33" s="35" t="s">
        <v>79</v>
      </c>
      <c r="C33" s="34">
        <v>5.7</v>
      </c>
      <c r="D33" s="38"/>
      <c r="E33" s="34">
        <v>5.7</v>
      </c>
      <c r="F33" s="38"/>
      <c r="G33" s="34">
        <v>6.4</v>
      </c>
      <c r="H33" s="38"/>
      <c r="I33" s="34">
        <v>7.1</v>
      </c>
      <c r="J33" s="38"/>
      <c r="K33" s="34">
        <v>7</v>
      </c>
      <c r="L33" s="38"/>
      <c r="M33" s="34" t="s">
        <v>76</v>
      </c>
      <c r="N33" s="38"/>
      <c r="O33" s="34" t="s">
        <v>76</v>
      </c>
      <c r="P33" s="38"/>
      <c r="R33" s="35" t="s">
        <v>85</v>
      </c>
      <c r="S33" s="37">
        <v>0.3</v>
      </c>
      <c r="T33" s="37">
        <v>0.6</v>
      </c>
      <c r="U33" s="37">
        <v>0.4</v>
      </c>
      <c r="V33" s="37">
        <v>0</v>
      </c>
      <c r="W33" s="37">
        <v>0.8</v>
      </c>
      <c r="X33" s="37">
        <v>1</v>
      </c>
      <c r="Y33" s="37">
        <v>0.4</v>
      </c>
      <c r="Z33" s="37">
        <v>0.8</v>
      </c>
      <c r="AA33" s="47"/>
      <c r="AB33" s="43"/>
      <c r="AC33" s="43"/>
      <c r="AD33" s="43"/>
      <c r="AE33" s="43"/>
      <c r="AF33" s="43"/>
      <c r="AG33" s="43"/>
      <c r="AH33" s="43"/>
      <c r="AI33" s="49"/>
      <c r="AJ33" s="49"/>
      <c r="AK33" s="50"/>
      <c r="AL33" s="50"/>
      <c r="AM33" s="50"/>
      <c r="AN33" s="50"/>
      <c r="AO33" s="50"/>
      <c r="AP33" s="50"/>
      <c r="AQ33" s="50"/>
      <c r="AR33" s="1"/>
      <c r="AS33" s="49"/>
      <c r="AT33" s="41"/>
      <c r="AU33" s="41"/>
      <c r="AV33" s="41"/>
      <c r="AW33" s="41"/>
      <c r="AX33" s="41"/>
      <c r="AY33" s="41"/>
      <c r="AZ33" s="41"/>
      <c r="BA33" s="41"/>
      <c r="BB33" s="51"/>
      <c r="BC33" s="1"/>
      <c r="BD33" s="1"/>
      <c r="BE33" s="1"/>
      <c r="BF33" s="1"/>
      <c r="BG33" s="1"/>
      <c r="BH33" s="1"/>
      <c r="BI33" s="1"/>
    </row>
    <row r="34" spans="1:61" ht="15.75" customHeight="1" x14ac:dyDescent="0.5">
      <c r="A34" s="58" t="s">
        <v>239</v>
      </c>
      <c r="B34" s="35" t="s">
        <v>79</v>
      </c>
      <c r="C34" s="34">
        <v>3.3</v>
      </c>
      <c r="D34" s="38"/>
      <c r="E34" s="34">
        <v>3.3</v>
      </c>
      <c r="F34" s="38"/>
      <c r="G34" s="34" t="s">
        <v>76</v>
      </c>
      <c r="H34" s="38"/>
      <c r="I34" s="34" t="s">
        <v>76</v>
      </c>
      <c r="J34" s="38"/>
      <c r="K34" s="34" t="s">
        <v>76</v>
      </c>
      <c r="L34" s="38"/>
      <c r="M34" s="34" t="s">
        <v>76</v>
      </c>
      <c r="N34" s="38"/>
      <c r="O34" s="34" t="s">
        <v>76</v>
      </c>
      <c r="P34" s="38"/>
      <c r="R34" s="35" t="s">
        <v>88</v>
      </c>
      <c r="S34" s="37">
        <v>0.3</v>
      </c>
      <c r="T34" s="37">
        <v>0.6</v>
      </c>
      <c r="U34" s="37">
        <v>0.1</v>
      </c>
      <c r="V34" s="37">
        <v>0</v>
      </c>
      <c r="W34" s="37">
        <v>0.75</v>
      </c>
      <c r="X34" s="37">
        <v>1</v>
      </c>
      <c r="Y34" s="37">
        <v>0</v>
      </c>
      <c r="Z34" s="37">
        <v>0.75</v>
      </c>
      <c r="AA34" s="47"/>
      <c r="AB34" s="43"/>
      <c r="AC34" s="43"/>
      <c r="AD34" s="43"/>
      <c r="AE34" s="43"/>
      <c r="AF34" s="43"/>
      <c r="AG34" s="43"/>
      <c r="AH34" s="43"/>
      <c r="AI34" s="49"/>
      <c r="AJ34" s="49"/>
      <c r="AK34" s="50"/>
      <c r="AL34" s="50"/>
      <c r="AM34" s="50"/>
      <c r="AN34" s="50"/>
      <c r="AO34" s="50"/>
      <c r="AP34" s="50"/>
      <c r="AQ34" s="50"/>
      <c r="AR34" s="1"/>
      <c r="AS34" s="49"/>
      <c r="AT34" s="41"/>
      <c r="AU34" s="41"/>
      <c r="AV34" s="41"/>
      <c r="AW34" s="41"/>
      <c r="AX34" s="41"/>
      <c r="AY34" s="41"/>
      <c r="AZ34" s="41"/>
      <c r="BA34" s="41"/>
      <c r="BB34" s="51"/>
      <c r="BC34" s="1"/>
      <c r="BD34" s="1"/>
      <c r="BE34" s="1"/>
      <c r="BF34" s="1"/>
      <c r="BG34" s="1"/>
      <c r="BH34" s="1"/>
      <c r="BI34" s="1"/>
    </row>
    <row r="35" spans="1:61" ht="15.75" customHeight="1" x14ac:dyDescent="0.5">
      <c r="A35" s="58" t="s">
        <v>240</v>
      </c>
      <c r="B35" s="35" t="s">
        <v>79</v>
      </c>
      <c r="C35" s="34">
        <v>2.2000000000000002</v>
      </c>
      <c r="D35" s="38"/>
      <c r="E35" s="34">
        <v>2.2000000000000002</v>
      </c>
      <c r="F35" s="38"/>
      <c r="G35" s="34">
        <v>3.1</v>
      </c>
      <c r="H35" s="38"/>
      <c r="I35" s="34">
        <v>4</v>
      </c>
      <c r="J35" s="38"/>
      <c r="K35" s="34">
        <v>4.5</v>
      </c>
      <c r="L35" s="38"/>
      <c r="M35" s="34" t="s">
        <v>76</v>
      </c>
      <c r="N35" s="38"/>
      <c r="O35" s="34" t="s">
        <v>76</v>
      </c>
      <c r="P35" s="38"/>
      <c r="R35" s="35" t="s">
        <v>85</v>
      </c>
      <c r="S35" s="37">
        <v>0.3</v>
      </c>
      <c r="T35" s="37">
        <v>0.6</v>
      </c>
      <c r="U35" s="37">
        <v>0.4</v>
      </c>
      <c r="V35" s="37">
        <v>0</v>
      </c>
      <c r="W35" s="37">
        <v>0.8</v>
      </c>
      <c r="X35" s="37">
        <v>1</v>
      </c>
      <c r="Y35" s="37">
        <v>0.4</v>
      </c>
      <c r="Z35" s="37">
        <v>0.8</v>
      </c>
      <c r="AA35" s="43"/>
      <c r="AB35" s="43"/>
      <c r="AC35" s="43"/>
      <c r="AD35" s="43"/>
      <c r="AE35" s="43"/>
      <c r="AF35" s="43"/>
      <c r="AG35" s="43"/>
      <c r="AH35" s="43"/>
      <c r="AI35" s="49"/>
      <c r="AJ35" s="49"/>
      <c r="AK35" s="50"/>
      <c r="AL35" s="50"/>
      <c r="AM35" s="50"/>
      <c r="AN35" s="50"/>
      <c r="AO35" s="50"/>
      <c r="AP35" s="50"/>
      <c r="AQ35" s="50"/>
      <c r="AR35" s="1"/>
      <c r="AS35" s="49"/>
      <c r="AT35" s="41"/>
      <c r="AU35" s="41"/>
      <c r="AV35" s="41"/>
      <c r="AW35" s="41"/>
      <c r="AX35" s="41"/>
      <c r="AY35" s="41"/>
      <c r="AZ35" s="41"/>
      <c r="BA35" s="41"/>
      <c r="BB35" s="51"/>
      <c r="BC35" s="1"/>
      <c r="BD35" s="1"/>
      <c r="BE35" s="1"/>
      <c r="BF35" s="1"/>
      <c r="BG35" s="1"/>
      <c r="BH35" s="1"/>
      <c r="BI35" s="1"/>
    </row>
    <row r="36" spans="1:61" ht="15.75" customHeight="1" x14ac:dyDescent="0.5">
      <c r="A36" s="58" t="s">
        <v>241</v>
      </c>
      <c r="B36" s="35" t="s">
        <v>79</v>
      </c>
      <c r="C36" s="34">
        <v>2.5</v>
      </c>
      <c r="D36" s="38"/>
      <c r="E36" s="34">
        <v>2.5</v>
      </c>
      <c r="F36" s="38"/>
      <c r="G36" s="34">
        <v>3.7</v>
      </c>
      <c r="H36" s="38"/>
      <c r="I36" s="34">
        <v>4.9000000000000004</v>
      </c>
      <c r="J36" s="38"/>
      <c r="K36" s="34">
        <v>5.2</v>
      </c>
      <c r="L36" s="38"/>
      <c r="M36" s="34" t="s">
        <v>76</v>
      </c>
      <c r="N36" s="38"/>
      <c r="O36" s="34" t="s">
        <v>76</v>
      </c>
      <c r="P36" s="38"/>
      <c r="R36" s="35" t="s">
        <v>85</v>
      </c>
      <c r="S36" s="37">
        <v>0.3</v>
      </c>
      <c r="T36" s="37">
        <v>0.6</v>
      </c>
      <c r="U36" s="37">
        <v>0.4</v>
      </c>
      <c r="V36" s="37">
        <v>0</v>
      </c>
      <c r="W36" s="37">
        <v>0.8</v>
      </c>
      <c r="X36" s="37">
        <v>1</v>
      </c>
      <c r="Y36" s="37">
        <v>0.4</v>
      </c>
      <c r="Z36" s="37">
        <v>0.8</v>
      </c>
      <c r="AA36" s="56"/>
      <c r="AB36" s="43"/>
      <c r="AC36" s="43"/>
      <c r="AD36" s="43"/>
      <c r="AE36" s="43"/>
      <c r="AF36" s="43"/>
      <c r="AG36" s="43"/>
      <c r="AH36" s="43"/>
      <c r="AI36" s="49"/>
      <c r="AJ36" s="49"/>
      <c r="AK36" s="50"/>
      <c r="AL36" s="50"/>
      <c r="AM36" s="50"/>
      <c r="AN36" s="50"/>
      <c r="AO36" s="50"/>
      <c r="AP36" s="50"/>
      <c r="AQ36" s="50"/>
      <c r="AR36" s="1"/>
      <c r="AS36" s="49"/>
      <c r="AT36" s="41"/>
      <c r="AU36" s="41"/>
      <c r="AV36" s="41"/>
      <c r="AW36" s="41"/>
      <c r="AX36" s="41"/>
      <c r="AY36" s="41"/>
      <c r="AZ36" s="41"/>
      <c r="BA36" s="41"/>
      <c r="BB36" s="51"/>
      <c r="BC36" s="1"/>
      <c r="BD36" s="1"/>
      <c r="BE36" s="1"/>
      <c r="BF36" s="1"/>
      <c r="BG36" s="1"/>
      <c r="BH36" s="1"/>
      <c r="BI36" s="1"/>
    </row>
    <row r="37" spans="1:61" ht="15.75" customHeight="1" x14ac:dyDescent="0.5">
      <c r="A37" s="58" t="s">
        <v>242</v>
      </c>
      <c r="B37" s="35" t="s">
        <v>79</v>
      </c>
      <c r="C37" s="34">
        <v>3.3</v>
      </c>
      <c r="D37" s="38"/>
      <c r="E37" s="34">
        <v>3.3</v>
      </c>
      <c r="F37" s="38"/>
      <c r="G37" s="34">
        <v>4.4000000000000004</v>
      </c>
      <c r="H37" s="38"/>
      <c r="I37" s="34">
        <v>5.5</v>
      </c>
      <c r="J37" s="38"/>
      <c r="K37" s="34">
        <v>5.8</v>
      </c>
      <c r="L37" s="38"/>
      <c r="M37" s="34" t="s">
        <v>76</v>
      </c>
      <c r="N37" s="38"/>
      <c r="O37" s="34" t="s">
        <v>76</v>
      </c>
      <c r="P37" s="38"/>
      <c r="R37" s="35" t="s">
        <v>85</v>
      </c>
      <c r="S37" s="37">
        <v>0.3</v>
      </c>
      <c r="T37" s="37">
        <v>0.6</v>
      </c>
      <c r="U37" s="37">
        <v>0.4</v>
      </c>
      <c r="V37" s="37">
        <v>0</v>
      </c>
      <c r="W37" s="37">
        <v>0.8</v>
      </c>
      <c r="X37" s="37">
        <v>1</v>
      </c>
      <c r="Y37" s="37">
        <v>0.4</v>
      </c>
      <c r="Z37" s="37">
        <v>0.8</v>
      </c>
      <c r="AA37" s="56"/>
      <c r="AB37" s="43"/>
      <c r="AC37" s="43"/>
      <c r="AD37" s="43"/>
      <c r="AE37" s="43"/>
      <c r="AF37" s="43"/>
      <c r="AG37" s="43"/>
      <c r="AH37" s="43"/>
      <c r="AI37" s="49"/>
      <c r="AJ37" s="49"/>
      <c r="AK37" s="50"/>
      <c r="AL37" s="50"/>
      <c r="AM37" s="50"/>
      <c r="AN37" s="50"/>
      <c r="AO37" s="50"/>
      <c r="AP37" s="50"/>
      <c r="AQ37" s="50"/>
      <c r="AR37" s="1"/>
      <c r="AS37" s="49"/>
      <c r="AT37" s="41"/>
      <c r="AU37" s="41"/>
      <c r="AV37" s="41"/>
      <c r="AW37" s="41"/>
      <c r="AX37" s="41"/>
      <c r="AY37" s="41"/>
      <c r="AZ37" s="41"/>
      <c r="BA37" s="41"/>
      <c r="BB37" s="51"/>
      <c r="BC37" s="1"/>
      <c r="BD37" s="1"/>
      <c r="BE37" s="1"/>
      <c r="BF37" s="1"/>
      <c r="BG37" s="1"/>
      <c r="BH37" s="1"/>
      <c r="BI37" s="1"/>
    </row>
    <row r="38" spans="1:61" ht="15.75" customHeight="1" x14ac:dyDescent="0.5">
      <c r="A38" s="46" t="s">
        <v>243</v>
      </c>
      <c r="B38" s="35" t="s">
        <v>79</v>
      </c>
      <c r="C38" s="34">
        <v>3.5</v>
      </c>
      <c r="D38" s="38"/>
      <c r="E38" s="34">
        <v>3.5</v>
      </c>
      <c r="F38" s="38"/>
      <c r="G38" s="34">
        <v>4.8</v>
      </c>
      <c r="H38" s="38"/>
      <c r="I38" s="34">
        <v>6.1</v>
      </c>
      <c r="J38" s="38"/>
      <c r="K38" s="34">
        <v>6.4</v>
      </c>
      <c r="L38" s="38"/>
      <c r="M38" s="34" t="s">
        <v>76</v>
      </c>
      <c r="N38" s="38"/>
      <c r="O38" s="34" t="s">
        <v>76</v>
      </c>
      <c r="P38" s="38"/>
      <c r="R38" s="35" t="s">
        <v>85</v>
      </c>
      <c r="S38" s="37">
        <v>0.3</v>
      </c>
      <c r="T38" s="37">
        <v>0.6</v>
      </c>
      <c r="U38" s="37">
        <v>0.4</v>
      </c>
      <c r="V38" s="37">
        <v>0</v>
      </c>
      <c r="W38" s="37">
        <v>0.8</v>
      </c>
      <c r="X38" s="37">
        <v>1</v>
      </c>
      <c r="Y38" s="37">
        <v>0.4</v>
      </c>
      <c r="Z38" s="37">
        <v>0.8</v>
      </c>
      <c r="AA38" s="47"/>
      <c r="AB38" s="43"/>
      <c r="AC38" s="43"/>
      <c r="AD38" s="43"/>
      <c r="AE38" s="43"/>
      <c r="AF38" s="43"/>
      <c r="AG38" s="43"/>
      <c r="AH38" s="43"/>
      <c r="AI38" s="49"/>
      <c r="AJ38" s="49"/>
      <c r="AK38" s="50"/>
      <c r="AL38" s="50"/>
      <c r="AM38" s="50"/>
      <c r="AN38" s="50"/>
      <c r="AO38" s="50"/>
      <c r="AP38" s="50"/>
      <c r="AQ38" s="50"/>
      <c r="AR38" s="1"/>
      <c r="AS38" s="49"/>
      <c r="AT38" s="41"/>
      <c r="AU38" s="41"/>
      <c r="AV38" s="41"/>
      <c r="AW38" s="41"/>
      <c r="AX38" s="41"/>
      <c r="AY38" s="41"/>
      <c r="AZ38" s="41"/>
      <c r="BA38" s="41"/>
      <c r="BB38" s="51"/>
      <c r="BC38" s="1"/>
      <c r="BD38" s="1"/>
      <c r="BE38" s="1"/>
      <c r="BF38" s="1"/>
      <c r="BG38" s="1"/>
      <c r="BH38" s="1"/>
      <c r="BI38" s="1"/>
    </row>
    <row r="39" spans="1:61" ht="15.75" customHeight="1" x14ac:dyDescent="0.5">
      <c r="A39" s="58" t="s">
        <v>244</v>
      </c>
      <c r="B39" s="35" t="s">
        <v>79</v>
      </c>
      <c r="C39" s="34">
        <v>3.6</v>
      </c>
      <c r="D39" s="38"/>
      <c r="E39" s="34">
        <v>3.6</v>
      </c>
      <c r="F39" s="38"/>
      <c r="G39" s="34">
        <v>5.2</v>
      </c>
      <c r="H39" s="38"/>
      <c r="I39" s="34">
        <v>6.8</v>
      </c>
      <c r="J39" s="38"/>
      <c r="K39" s="34">
        <v>6.9</v>
      </c>
      <c r="L39" s="38"/>
      <c r="M39" s="34" t="s">
        <v>76</v>
      </c>
      <c r="N39" s="38"/>
      <c r="O39" s="34" t="s">
        <v>76</v>
      </c>
      <c r="P39" s="38"/>
      <c r="R39" s="35" t="s">
        <v>85</v>
      </c>
      <c r="S39" s="37">
        <v>0.3</v>
      </c>
      <c r="T39" s="37">
        <v>0.6</v>
      </c>
      <c r="U39" s="37">
        <v>0.4</v>
      </c>
      <c r="V39" s="37">
        <v>0</v>
      </c>
      <c r="W39" s="37">
        <v>0.8</v>
      </c>
      <c r="X39" s="37">
        <v>1</v>
      </c>
      <c r="Y39" s="37">
        <v>0.4</v>
      </c>
      <c r="Z39" s="37">
        <v>0.8</v>
      </c>
      <c r="AA39" s="47"/>
      <c r="AB39" s="43"/>
      <c r="AC39" s="43"/>
      <c r="AD39" s="43"/>
      <c r="AE39" s="43"/>
      <c r="AF39" s="43"/>
      <c r="AG39" s="43"/>
      <c r="AH39" s="43"/>
      <c r="AI39" s="49"/>
      <c r="AJ39" s="49"/>
      <c r="AK39" s="50"/>
      <c r="AL39" s="50"/>
      <c r="AM39" s="50"/>
      <c r="AN39" s="50"/>
      <c r="AO39" s="50"/>
      <c r="AP39" s="50"/>
      <c r="AQ39" s="50"/>
      <c r="AR39" s="1"/>
      <c r="AS39" s="49"/>
      <c r="AT39" s="41"/>
      <c r="AU39" s="41"/>
      <c r="AV39" s="41"/>
      <c r="AW39" s="41"/>
      <c r="AX39" s="41"/>
      <c r="AY39" s="41"/>
      <c r="AZ39" s="41"/>
      <c r="BA39" s="41"/>
      <c r="BB39" s="51"/>
      <c r="BC39" s="1"/>
      <c r="BD39" s="1"/>
      <c r="BE39" s="1"/>
      <c r="BF39" s="1"/>
      <c r="BG39" s="1"/>
      <c r="BH39" s="1"/>
      <c r="BI39" s="1"/>
    </row>
    <row r="40" spans="1:61" ht="15.75" customHeight="1" x14ac:dyDescent="0.5">
      <c r="A40" s="58" t="s">
        <v>86</v>
      </c>
      <c r="B40" s="35" t="s">
        <v>79</v>
      </c>
      <c r="C40" s="34">
        <v>0.8</v>
      </c>
      <c r="D40" s="38"/>
      <c r="E40" s="34">
        <v>0.8</v>
      </c>
      <c r="F40" s="38"/>
      <c r="G40" s="34">
        <v>1.2</v>
      </c>
      <c r="H40" s="38"/>
      <c r="I40" s="34">
        <v>1.9</v>
      </c>
      <c r="J40" s="38"/>
      <c r="K40" s="34">
        <v>1.7</v>
      </c>
      <c r="L40" s="38"/>
      <c r="M40" s="34">
        <v>1.7</v>
      </c>
      <c r="N40" s="38"/>
      <c r="O40" s="34" t="s">
        <v>76</v>
      </c>
      <c r="P40" s="38"/>
      <c r="R40" s="35" t="s">
        <v>88</v>
      </c>
      <c r="S40" s="37">
        <v>0.3</v>
      </c>
      <c r="T40" s="37">
        <v>0.6</v>
      </c>
      <c r="U40" s="37">
        <v>0.1</v>
      </c>
      <c r="V40" s="37">
        <v>0</v>
      </c>
      <c r="W40" s="37">
        <v>0.75</v>
      </c>
      <c r="X40" s="37">
        <v>1</v>
      </c>
      <c r="Y40" s="37">
        <v>0</v>
      </c>
      <c r="Z40" s="37">
        <v>0.75</v>
      </c>
      <c r="AA40" s="47"/>
      <c r="AB40" s="43"/>
      <c r="AC40" s="43"/>
      <c r="AD40" s="43"/>
      <c r="AE40" s="43"/>
      <c r="AF40" s="43"/>
      <c r="AG40" s="43"/>
      <c r="AH40" s="43"/>
      <c r="AI40" s="49"/>
      <c r="AJ40" s="49"/>
      <c r="AK40" s="50"/>
      <c r="AL40" s="50"/>
      <c r="AM40" s="50"/>
      <c r="AN40" s="50"/>
      <c r="AO40" s="50"/>
      <c r="AP40" s="50"/>
      <c r="AQ40" s="50"/>
      <c r="AR40" s="1"/>
      <c r="AS40" s="49"/>
      <c r="AT40" s="41"/>
      <c r="AU40" s="41"/>
      <c r="AV40" s="41"/>
      <c r="AW40" s="41"/>
      <c r="AX40" s="41"/>
      <c r="AY40" s="41"/>
      <c r="AZ40" s="41"/>
      <c r="BA40" s="41"/>
      <c r="BB40" s="51"/>
      <c r="BC40" s="1"/>
      <c r="BD40" s="1"/>
      <c r="BE40" s="1"/>
      <c r="BF40" s="1"/>
      <c r="BG40" s="1"/>
      <c r="BH40" s="1"/>
      <c r="BI40" s="1"/>
    </row>
    <row r="41" spans="1:61" ht="15.75" customHeight="1" x14ac:dyDescent="0.5">
      <c r="A41" s="58" t="s">
        <v>87</v>
      </c>
      <c r="B41" s="35" t="s">
        <v>79</v>
      </c>
      <c r="C41" s="34">
        <v>3.6</v>
      </c>
      <c r="D41" s="38"/>
      <c r="E41" s="34">
        <v>3.6</v>
      </c>
      <c r="F41" s="38"/>
      <c r="G41" s="34">
        <v>5.8</v>
      </c>
      <c r="H41" s="38"/>
      <c r="I41" s="34">
        <v>8.1</v>
      </c>
      <c r="J41" s="38"/>
      <c r="K41" s="34">
        <v>7.7</v>
      </c>
      <c r="L41" s="38"/>
      <c r="M41" s="34" t="s">
        <v>76</v>
      </c>
      <c r="N41" s="38"/>
      <c r="O41" s="34" t="s">
        <v>76</v>
      </c>
      <c r="P41" s="38"/>
      <c r="R41" s="35" t="s">
        <v>88</v>
      </c>
      <c r="S41" s="37">
        <v>0.3</v>
      </c>
      <c r="T41" s="37">
        <v>0.6</v>
      </c>
      <c r="U41" s="37">
        <v>0.1</v>
      </c>
      <c r="V41" s="37">
        <v>0</v>
      </c>
      <c r="W41" s="37">
        <v>0.75</v>
      </c>
      <c r="X41" s="37">
        <v>1</v>
      </c>
      <c r="Y41" s="37">
        <v>0</v>
      </c>
      <c r="Z41" s="37">
        <v>0.75</v>
      </c>
      <c r="AA41" s="47"/>
      <c r="AB41" s="43"/>
      <c r="AC41" s="43"/>
      <c r="AD41" s="43"/>
      <c r="AE41" s="43"/>
      <c r="AF41" s="43"/>
      <c r="AG41" s="43"/>
      <c r="AH41" s="43"/>
      <c r="AI41" s="49"/>
      <c r="AJ41" s="49"/>
      <c r="AK41" s="50"/>
      <c r="AL41" s="50"/>
      <c r="AM41" s="50"/>
      <c r="AN41" s="50"/>
      <c r="AO41" s="50"/>
      <c r="AP41" s="50"/>
      <c r="AQ41" s="50"/>
      <c r="AR41" s="1"/>
      <c r="AS41" s="49"/>
      <c r="AT41" s="41"/>
      <c r="AU41" s="41"/>
      <c r="AV41" s="41"/>
      <c r="AW41" s="41"/>
      <c r="AX41" s="41"/>
      <c r="AY41" s="41"/>
      <c r="AZ41" s="41"/>
      <c r="BA41" s="41"/>
      <c r="BB41" s="51"/>
      <c r="BC41" s="1"/>
      <c r="BD41" s="1"/>
      <c r="BE41" s="1"/>
      <c r="BF41" s="1"/>
      <c r="BG41" s="1"/>
      <c r="BH41" s="1"/>
      <c r="BI41" s="1"/>
    </row>
    <row r="42" spans="1:61" ht="15.75" customHeight="1" x14ac:dyDescent="0.5">
      <c r="A42" s="58" t="s">
        <v>89</v>
      </c>
      <c r="B42" s="35" t="s">
        <v>79</v>
      </c>
      <c r="C42" s="34">
        <v>1.1000000000000001</v>
      </c>
      <c r="D42" s="38"/>
      <c r="E42" s="34">
        <v>1.1000000000000001</v>
      </c>
      <c r="F42" s="38"/>
      <c r="G42" s="34">
        <v>1.6</v>
      </c>
      <c r="H42" s="38"/>
      <c r="I42" s="34">
        <v>1.9</v>
      </c>
      <c r="J42" s="38"/>
      <c r="K42" s="34">
        <v>1.8</v>
      </c>
      <c r="L42" s="38"/>
      <c r="M42" s="34" t="s">
        <v>76</v>
      </c>
      <c r="N42" s="38"/>
      <c r="O42" s="34" t="s">
        <v>76</v>
      </c>
      <c r="P42" s="38"/>
      <c r="R42" s="35" t="s">
        <v>88</v>
      </c>
      <c r="S42" s="37">
        <v>0.3</v>
      </c>
      <c r="T42" s="37">
        <v>0.6</v>
      </c>
      <c r="U42" s="37">
        <v>0.1</v>
      </c>
      <c r="V42" s="37">
        <v>0</v>
      </c>
      <c r="W42" s="37">
        <v>0.75</v>
      </c>
      <c r="X42" s="37">
        <v>1</v>
      </c>
      <c r="Y42" s="37">
        <v>0</v>
      </c>
      <c r="Z42" s="37">
        <v>0.75</v>
      </c>
      <c r="AA42" s="47"/>
      <c r="AB42" s="43"/>
      <c r="AC42" s="43"/>
      <c r="AD42" s="43"/>
      <c r="AE42" s="43"/>
      <c r="AF42" s="43"/>
      <c r="AG42" s="43"/>
      <c r="AH42" s="43"/>
      <c r="AI42" s="49"/>
      <c r="AJ42" s="49"/>
      <c r="AK42" s="50"/>
      <c r="AL42" s="50"/>
      <c r="AM42" s="50"/>
      <c r="AN42" s="50"/>
      <c r="AO42" s="50"/>
      <c r="AP42" s="50"/>
      <c r="AQ42" s="50"/>
      <c r="AR42" s="1"/>
      <c r="AS42" s="49"/>
      <c r="AT42" s="41"/>
      <c r="AU42" s="41"/>
      <c r="AV42" s="41"/>
      <c r="AW42" s="41"/>
      <c r="AX42" s="41"/>
      <c r="AY42" s="41"/>
      <c r="AZ42" s="41"/>
      <c r="BA42" s="41"/>
      <c r="BB42" s="51"/>
      <c r="BC42" s="1"/>
      <c r="BD42" s="1"/>
      <c r="BE42" s="1"/>
      <c r="BF42" s="1"/>
      <c r="BG42" s="1"/>
      <c r="BH42" s="1"/>
      <c r="BI42" s="1"/>
    </row>
    <row r="43" spans="1:61" ht="15.75" customHeight="1" x14ac:dyDescent="0.5">
      <c r="A43" s="58" t="s">
        <v>90</v>
      </c>
      <c r="B43" s="35" t="s">
        <v>79</v>
      </c>
      <c r="C43" s="34" t="s">
        <v>76</v>
      </c>
      <c r="D43" s="38"/>
      <c r="E43" s="34" t="s">
        <v>76</v>
      </c>
      <c r="F43" s="38"/>
      <c r="G43" s="34" t="s">
        <v>76</v>
      </c>
      <c r="H43" s="38"/>
      <c r="I43" s="34">
        <v>5.2</v>
      </c>
      <c r="J43" s="38"/>
      <c r="K43" s="34">
        <v>5.2</v>
      </c>
      <c r="L43" s="38"/>
      <c r="M43" s="34" t="s">
        <v>76</v>
      </c>
      <c r="N43" s="38"/>
      <c r="O43" s="34" t="s">
        <v>76</v>
      </c>
      <c r="P43" s="38"/>
      <c r="R43" s="35" t="s">
        <v>88</v>
      </c>
      <c r="S43" s="37">
        <v>0.3</v>
      </c>
      <c r="T43" s="37">
        <v>0.6</v>
      </c>
      <c r="U43" s="37">
        <v>0.1</v>
      </c>
      <c r="V43" s="37">
        <v>0</v>
      </c>
      <c r="W43" s="37">
        <v>0.75</v>
      </c>
      <c r="X43" s="37">
        <v>1</v>
      </c>
      <c r="Y43" s="37">
        <v>0</v>
      </c>
      <c r="Z43" s="37">
        <v>0.75</v>
      </c>
      <c r="AA43" s="47"/>
      <c r="AB43" s="43"/>
      <c r="AC43" s="43"/>
      <c r="AD43" s="43"/>
      <c r="AE43" s="43"/>
      <c r="AF43" s="43"/>
      <c r="AG43" s="43"/>
      <c r="AH43" s="43"/>
      <c r="AI43" s="49"/>
      <c r="AJ43" s="49"/>
      <c r="AK43" s="50"/>
      <c r="AL43" s="50"/>
      <c r="AM43" s="50"/>
      <c r="AN43" s="50"/>
      <c r="AO43" s="50"/>
      <c r="AP43" s="50"/>
      <c r="AQ43" s="50"/>
      <c r="AR43" s="1"/>
      <c r="AS43" s="49"/>
      <c r="AT43" s="41"/>
      <c r="AU43" s="41"/>
      <c r="AV43" s="41"/>
      <c r="AW43" s="41"/>
      <c r="AX43" s="41"/>
      <c r="AY43" s="41"/>
      <c r="AZ43" s="41"/>
      <c r="BA43" s="41"/>
      <c r="BB43" s="51"/>
      <c r="BC43" s="1"/>
      <c r="BD43" s="1"/>
      <c r="BE43" s="1"/>
      <c r="BF43" s="1"/>
      <c r="BG43" s="1"/>
      <c r="BH43" s="1"/>
      <c r="BI43" s="1"/>
    </row>
    <row r="44" spans="1:61" ht="15.75" customHeight="1" x14ac:dyDescent="0.5">
      <c r="A44" s="58" t="s">
        <v>91</v>
      </c>
      <c r="B44" s="35" t="s">
        <v>79</v>
      </c>
      <c r="C44" s="34" t="s">
        <v>76</v>
      </c>
      <c r="D44" s="38"/>
      <c r="E44" s="34" t="s">
        <v>76</v>
      </c>
      <c r="F44" s="38"/>
      <c r="G44" s="34">
        <v>2</v>
      </c>
      <c r="H44" s="38"/>
      <c r="I44" s="34">
        <v>2.5</v>
      </c>
      <c r="J44" s="38"/>
      <c r="K44" s="34">
        <v>2.4</v>
      </c>
      <c r="L44" s="38"/>
      <c r="M44" s="34" t="s">
        <v>76</v>
      </c>
      <c r="N44" s="38"/>
      <c r="O44" s="34" t="s">
        <v>76</v>
      </c>
      <c r="P44" s="38"/>
      <c r="R44" s="35" t="s">
        <v>88</v>
      </c>
      <c r="S44" s="37">
        <v>0.3</v>
      </c>
      <c r="T44" s="37">
        <v>0.6</v>
      </c>
      <c r="U44" s="37">
        <v>0.1</v>
      </c>
      <c r="V44" s="37">
        <v>0</v>
      </c>
      <c r="W44" s="37">
        <v>0.75</v>
      </c>
      <c r="X44" s="37">
        <v>1</v>
      </c>
      <c r="Y44" s="37">
        <v>0</v>
      </c>
      <c r="Z44" s="37">
        <v>0.75</v>
      </c>
      <c r="AA44" s="47"/>
      <c r="AB44" s="43"/>
      <c r="AC44" s="43"/>
      <c r="AD44" s="43"/>
      <c r="AE44" s="43"/>
      <c r="AF44" s="43"/>
      <c r="AG44" s="43"/>
      <c r="AH44" s="43"/>
      <c r="AI44" s="49"/>
      <c r="AJ44" s="49"/>
      <c r="AK44" s="50"/>
      <c r="AL44" s="50"/>
      <c r="AM44" s="50"/>
      <c r="AN44" s="50"/>
      <c r="AO44" s="50"/>
      <c r="AP44" s="50"/>
      <c r="AQ44" s="50"/>
      <c r="AR44" s="1"/>
      <c r="AS44" s="49"/>
      <c r="AT44" s="41"/>
      <c r="AU44" s="41"/>
      <c r="AV44" s="41"/>
      <c r="AW44" s="41"/>
      <c r="AX44" s="41"/>
      <c r="AY44" s="41"/>
      <c r="AZ44" s="41"/>
      <c r="BA44" s="41"/>
      <c r="BB44" s="1"/>
      <c r="BC44" s="1"/>
      <c r="BD44" s="1"/>
      <c r="BE44" s="1"/>
      <c r="BF44" s="1"/>
      <c r="BG44" s="1"/>
      <c r="BH44" s="1"/>
      <c r="BI44" s="1"/>
    </row>
    <row r="45" spans="1:61" ht="15.75" customHeight="1" x14ac:dyDescent="0.5">
      <c r="A45" s="58" t="s">
        <v>92</v>
      </c>
      <c r="B45" s="35" t="s">
        <v>79</v>
      </c>
      <c r="C45" s="34" t="s">
        <v>76</v>
      </c>
      <c r="D45" s="38"/>
      <c r="E45" s="34" t="s">
        <v>76</v>
      </c>
      <c r="F45" s="38"/>
      <c r="G45" s="34">
        <v>3.7</v>
      </c>
      <c r="H45" s="38"/>
      <c r="I45" s="34">
        <v>4.4000000000000004</v>
      </c>
      <c r="J45" s="38"/>
      <c r="K45" s="34">
        <v>4</v>
      </c>
      <c r="L45" s="38"/>
      <c r="M45" s="34" t="s">
        <v>76</v>
      </c>
      <c r="N45" s="38"/>
      <c r="O45" s="34" t="s">
        <v>76</v>
      </c>
      <c r="P45" s="38"/>
      <c r="R45" s="35" t="s">
        <v>88</v>
      </c>
      <c r="S45" s="37">
        <v>0.3</v>
      </c>
      <c r="T45" s="37">
        <v>0.6</v>
      </c>
      <c r="U45" s="37">
        <v>0.1</v>
      </c>
      <c r="V45" s="37">
        <v>0</v>
      </c>
      <c r="W45" s="37">
        <v>0.75</v>
      </c>
      <c r="X45" s="37">
        <v>1</v>
      </c>
      <c r="Y45" s="37">
        <v>0</v>
      </c>
      <c r="Z45" s="37">
        <v>0.75</v>
      </c>
      <c r="AA45" s="47"/>
      <c r="AB45" s="43"/>
      <c r="AC45" s="43"/>
      <c r="AD45" s="43"/>
      <c r="AE45" s="43"/>
      <c r="AF45" s="43"/>
      <c r="AG45" s="43"/>
      <c r="AH45" s="43"/>
      <c r="AI45" s="49"/>
      <c r="AJ45" s="49"/>
      <c r="AK45" s="50"/>
      <c r="AL45" s="50"/>
      <c r="AM45" s="50"/>
      <c r="AN45" s="50"/>
      <c r="AO45" s="50"/>
      <c r="AP45" s="50"/>
      <c r="AQ45" s="50"/>
      <c r="AR45" s="1"/>
      <c r="AS45" s="49"/>
      <c r="AT45" s="41"/>
      <c r="AU45" s="41"/>
      <c r="AV45" s="41"/>
      <c r="AW45" s="41"/>
      <c r="AX45" s="41"/>
      <c r="AY45" s="41"/>
      <c r="AZ45" s="41"/>
      <c r="BA45" s="41"/>
      <c r="BB45" s="1"/>
      <c r="BC45" s="1"/>
      <c r="BD45" s="1"/>
      <c r="BE45" s="1"/>
      <c r="BF45" s="1"/>
      <c r="BG45" s="1"/>
      <c r="BH45" s="1"/>
      <c r="BI45" s="1"/>
    </row>
    <row r="46" spans="1:61" ht="15.75" customHeight="1" x14ac:dyDescent="0.5">
      <c r="A46" s="58" t="s">
        <v>93</v>
      </c>
      <c r="B46" s="35" t="s">
        <v>79</v>
      </c>
      <c r="C46" s="34" t="s">
        <v>76</v>
      </c>
      <c r="D46" s="38"/>
      <c r="E46" s="34" t="s">
        <v>76</v>
      </c>
      <c r="F46" s="38"/>
      <c r="G46" s="34">
        <v>9.1999999999999993</v>
      </c>
      <c r="H46" s="38"/>
      <c r="I46" s="34">
        <v>10.4</v>
      </c>
      <c r="J46" s="38"/>
      <c r="K46" s="34">
        <v>10.1</v>
      </c>
      <c r="L46" s="38"/>
      <c r="M46" s="34" t="s">
        <v>76</v>
      </c>
      <c r="N46" s="38"/>
      <c r="O46" s="34" t="s">
        <v>76</v>
      </c>
      <c r="P46" s="38"/>
      <c r="R46" s="35" t="s">
        <v>88</v>
      </c>
      <c r="S46" s="37">
        <v>0.3</v>
      </c>
      <c r="T46" s="37">
        <v>0.6</v>
      </c>
      <c r="U46" s="37">
        <v>0.1</v>
      </c>
      <c r="V46" s="37">
        <v>0</v>
      </c>
      <c r="W46" s="37">
        <v>0.75</v>
      </c>
      <c r="X46" s="37">
        <v>1</v>
      </c>
      <c r="Y46" s="37">
        <v>0</v>
      </c>
      <c r="Z46" s="37">
        <v>0.75</v>
      </c>
      <c r="AA46" s="47"/>
      <c r="AB46" s="43"/>
      <c r="AC46" s="43"/>
      <c r="AD46" s="43"/>
      <c r="AE46" s="43"/>
      <c r="AF46" s="43"/>
      <c r="AG46" s="43"/>
      <c r="AH46" s="43"/>
      <c r="AI46" s="49"/>
      <c r="AJ46" s="49"/>
      <c r="AK46" s="50"/>
      <c r="AL46" s="50"/>
      <c r="AM46" s="50"/>
      <c r="AN46" s="50"/>
      <c r="AO46" s="50"/>
      <c r="AP46" s="50"/>
      <c r="AQ46" s="50"/>
      <c r="AR46" s="1"/>
      <c r="AS46" s="49"/>
      <c r="AT46" s="41"/>
      <c r="AU46" s="41"/>
      <c r="AV46" s="41"/>
      <c r="AW46" s="41"/>
      <c r="AX46" s="41"/>
      <c r="AY46" s="41"/>
      <c r="AZ46" s="41"/>
      <c r="BA46" s="41"/>
      <c r="BB46" s="51"/>
      <c r="BC46" s="1"/>
      <c r="BD46" s="1"/>
      <c r="BE46" s="1"/>
      <c r="BF46" s="1"/>
      <c r="BG46" s="1"/>
      <c r="BH46" s="1"/>
      <c r="BI46" s="1"/>
    </row>
    <row r="47" spans="1:61" ht="15.75" customHeight="1" x14ac:dyDescent="0.5">
      <c r="A47" s="58" t="s">
        <v>94</v>
      </c>
      <c r="B47" s="35" t="s">
        <v>79</v>
      </c>
      <c r="C47" s="34" t="s">
        <v>76</v>
      </c>
      <c r="D47" s="38"/>
      <c r="E47" s="34" t="s">
        <v>76</v>
      </c>
      <c r="F47" s="38"/>
      <c r="G47" s="34">
        <v>1.8</v>
      </c>
      <c r="H47" s="38"/>
      <c r="I47" s="34">
        <v>2.4</v>
      </c>
      <c r="J47" s="38"/>
      <c r="K47" s="34">
        <v>2.4</v>
      </c>
      <c r="L47" s="38"/>
      <c r="M47" s="34" t="s">
        <v>76</v>
      </c>
      <c r="N47" s="38"/>
      <c r="O47" s="34" t="s">
        <v>76</v>
      </c>
      <c r="P47" s="38"/>
      <c r="R47" s="35" t="s">
        <v>88</v>
      </c>
      <c r="S47" s="37">
        <v>0.3</v>
      </c>
      <c r="T47" s="37">
        <v>0.6</v>
      </c>
      <c r="U47" s="37">
        <v>0.1</v>
      </c>
      <c r="V47" s="37">
        <v>0</v>
      </c>
      <c r="W47" s="37">
        <v>0.75</v>
      </c>
      <c r="X47" s="37">
        <v>1</v>
      </c>
      <c r="Y47" s="37">
        <v>0</v>
      </c>
      <c r="Z47" s="37">
        <v>0.75</v>
      </c>
      <c r="AA47" s="47"/>
      <c r="AB47" s="43"/>
      <c r="AC47" s="43"/>
      <c r="AD47" s="43"/>
      <c r="AE47" s="43"/>
      <c r="AF47" s="43"/>
      <c r="AG47" s="43"/>
      <c r="AH47" s="43"/>
      <c r="AI47" s="49"/>
      <c r="AJ47" s="49"/>
      <c r="AK47" s="50"/>
      <c r="AL47" s="50"/>
      <c r="AM47" s="50"/>
      <c r="AN47" s="50"/>
      <c r="AO47" s="50"/>
      <c r="AP47" s="50"/>
      <c r="AQ47" s="50"/>
      <c r="AR47" s="1"/>
      <c r="AS47" s="49"/>
      <c r="AT47" s="41"/>
      <c r="AU47" s="41"/>
      <c r="AV47" s="41"/>
      <c r="AW47" s="41"/>
      <c r="AX47" s="41"/>
      <c r="AY47" s="41"/>
      <c r="AZ47" s="41"/>
      <c r="BA47" s="41"/>
      <c r="BB47" s="51"/>
      <c r="BC47" s="1"/>
      <c r="BD47" s="1"/>
      <c r="BE47" s="1"/>
      <c r="BF47" s="1"/>
      <c r="BG47" s="1"/>
      <c r="BH47" s="1"/>
      <c r="BI47" s="1"/>
    </row>
    <row r="48" spans="1:61" ht="15.75" customHeight="1" x14ac:dyDescent="0.5">
      <c r="A48" s="58" t="s">
        <v>95</v>
      </c>
      <c r="B48" s="35" t="s">
        <v>79</v>
      </c>
      <c r="C48" s="34" t="s">
        <v>76</v>
      </c>
      <c r="D48" s="38"/>
      <c r="E48" s="34" t="s">
        <v>76</v>
      </c>
      <c r="F48" s="38"/>
      <c r="G48" s="34">
        <v>2.2000000000000002</v>
      </c>
      <c r="H48" s="38"/>
      <c r="I48" s="34">
        <v>2.6</v>
      </c>
      <c r="J48" s="38"/>
      <c r="K48" s="34">
        <v>2.7</v>
      </c>
      <c r="L48" s="38"/>
      <c r="M48" s="34" t="s">
        <v>76</v>
      </c>
      <c r="N48" s="38"/>
      <c r="O48" s="34" t="s">
        <v>76</v>
      </c>
      <c r="P48" s="38"/>
      <c r="R48" s="35" t="s">
        <v>88</v>
      </c>
      <c r="S48" s="37">
        <v>0.3</v>
      </c>
      <c r="T48" s="37">
        <v>0.6</v>
      </c>
      <c r="U48" s="37">
        <v>0.1</v>
      </c>
      <c r="V48" s="37">
        <v>0</v>
      </c>
      <c r="W48" s="37">
        <v>0.75</v>
      </c>
      <c r="X48" s="37">
        <v>1</v>
      </c>
      <c r="Y48" s="37">
        <v>0</v>
      </c>
      <c r="Z48" s="37">
        <v>0.75</v>
      </c>
      <c r="AA48" s="47"/>
      <c r="AB48" s="43"/>
      <c r="AC48" s="43"/>
      <c r="AD48" s="43"/>
      <c r="AE48" s="43"/>
      <c r="AF48" s="43"/>
      <c r="AG48" s="43"/>
      <c r="AH48" s="43"/>
      <c r="AI48" s="49"/>
      <c r="AJ48" s="49"/>
      <c r="AK48" s="50"/>
      <c r="AL48" s="50"/>
      <c r="AM48" s="50"/>
      <c r="AN48" s="50"/>
      <c r="AO48" s="50"/>
      <c r="AP48" s="50"/>
      <c r="AQ48" s="50"/>
      <c r="AR48" s="1"/>
      <c r="AS48" s="49"/>
      <c r="AT48" s="41"/>
      <c r="AU48" s="41"/>
      <c r="AV48" s="41"/>
      <c r="AW48" s="41"/>
      <c r="AX48" s="41"/>
      <c r="AY48" s="41"/>
      <c r="AZ48" s="41"/>
      <c r="BA48" s="41"/>
      <c r="BB48" s="51"/>
      <c r="BC48" s="1"/>
      <c r="BD48" s="1"/>
      <c r="BE48" s="1"/>
      <c r="BF48" s="1"/>
      <c r="BG48" s="1"/>
      <c r="BH48" s="1"/>
      <c r="BI48" s="1"/>
    </row>
    <row r="49" spans="1:61" ht="15.75" customHeight="1" x14ac:dyDescent="0.5">
      <c r="A49" s="58" t="s">
        <v>96</v>
      </c>
      <c r="B49" s="35" t="s">
        <v>79</v>
      </c>
      <c r="C49" s="34" t="s">
        <v>76</v>
      </c>
      <c r="D49" s="38"/>
      <c r="E49" s="34" t="s">
        <v>76</v>
      </c>
      <c r="F49" s="38"/>
      <c r="G49" s="34">
        <v>2.2000000000000002</v>
      </c>
      <c r="H49" s="38"/>
      <c r="I49" s="34">
        <v>2.6</v>
      </c>
      <c r="J49" s="38"/>
      <c r="K49" s="34">
        <v>2.7</v>
      </c>
      <c r="L49" s="38"/>
      <c r="M49" s="34" t="s">
        <v>76</v>
      </c>
      <c r="N49" s="38"/>
      <c r="O49" s="34" t="s">
        <v>76</v>
      </c>
      <c r="P49" s="38"/>
      <c r="R49" s="35" t="s">
        <v>88</v>
      </c>
      <c r="S49" s="37">
        <v>0.3</v>
      </c>
      <c r="T49" s="37">
        <v>0.6</v>
      </c>
      <c r="U49" s="37">
        <v>0.1</v>
      </c>
      <c r="V49" s="37">
        <v>0</v>
      </c>
      <c r="W49" s="37">
        <v>0.75</v>
      </c>
      <c r="X49" s="37">
        <v>1</v>
      </c>
      <c r="Y49" s="37">
        <v>0</v>
      </c>
      <c r="Z49" s="37">
        <v>0.75</v>
      </c>
      <c r="AA49" s="47"/>
      <c r="AB49" s="43"/>
      <c r="AC49" s="43"/>
      <c r="AD49" s="43"/>
      <c r="AE49" s="43"/>
      <c r="AF49" s="43"/>
      <c r="AG49" s="43"/>
      <c r="AH49" s="43"/>
      <c r="AI49" s="49"/>
      <c r="AJ49" s="49"/>
      <c r="AK49" s="50"/>
      <c r="AL49" s="50"/>
      <c r="AM49" s="50"/>
      <c r="AN49" s="50"/>
      <c r="AO49" s="50"/>
      <c r="AP49" s="50"/>
      <c r="AQ49" s="50"/>
      <c r="AR49" s="1"/>
      <c r="AS49" s="49"/>
      <c r="AT49" s="41"/>
      <c r="AU49" s="41"/>
      <c r="AV49" s="41"/>
      <c r="AW49" s="41"/>
      <c r="AX49" s="41"/>
      <c r="AY49" s="41"/>
      <c r="AZ49" s="41"/>
      <c r="BA49" s="41"/>
      <c r="BB49" s="51"/>
      <c r="BC49" s="1"/>
      <c r="BD49" s="1"/>
      <c r="BE49" s="1"/>
      <c r="BF49" s="1"/>
      <c r="BG49" s="1"/>
      <c r="BH49" s="1"/>
      <c r="BI49" s="1"/>
    </row>
    <row r="50" spans="1:61" ht="15.75" customHeight="1" x14ac:dyDescent="0.5">
      <c r="A50" s="49"/>
      <c r="B50" s="4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7"/>
      <c r="AB50" s="43"/>
      <c r="AC50" s="43"/>
      <c r="AD50" s="43"/>
      <c r="AE50" s="43"/>
      <c r="AF50" s="43"/>
      <c r="AG50" s="43"/>
      <c r="AH50" s="43"/>
      <c r="AI50" s="52"/>
      <c r="AJ50" s="49"/>
      <c r="AK50" s="50"/>
      <c r="AL50" s="50"/>
      <c r="AM50" s="50"/>
      <c r="AN50" s="50"/>
      <c r="AO50" s="50"/>
      <c r="AP50" s="50"/>
      <c r="AQ50" s="50"/>
      <c r="AR50" s="1"/>
      <c r="AS50" s="49"/>
      <c r="AT50" s="41"/>
      <c r="AU50" s="41"/>
      <c r="AV50" s="41"/>
      <c r="AW50" s="41"/>
      <c r="AX50" s="41"/>
      <c r="AY50" s="41"/>
      <c r="AZ50" s="41"/>
      <c r="BA50" s="41"/>
      <c r="BB50" s="51"/>
      <c r="BC50" s="1"/>
      <c r="BD50" s="1"/>
      <c r="BE50" s="1"/>
      <c r="BF50" s="1"/>
      <c r="BG50" s="1"/>
      <c r="BH50" s="1"/>
      <c r="BI50" s="1"/>
    </row>
    <row r="51" spans="1:61" ht="15.75" customHeight="1" x14ac:dyDescent="0.5">
      <c r="A51" s="55" t="s">
        <v>41</v>
      </c>
      <c r="B51" s="39" t="s">
        <v>6</v>
      </c>
      <c r="C51" s="161" t="s">
        <v>48</v>
      </c>
      <c r="D51" s="162"/>
      <c r="E51" s="161" t="s">
        <v>49</v>
      </c>
      <c r="F51" s="162"/>
      <c r="G51" s="161" t="s">
        <v>18</v>
      </c>
      <c r="H51" s="162"/>
      <c r="I51" s="161" t="s">
        <v>50</v>
      </c>
      <c r="J51" s="162"/>
      <c r="K51" s="161" t="s">
        <v>51</v>
      </c>
      <c r="L51" s="162"/>
      <c r="M51" s="161" t="s">
        <v>52</v>
      </c>
      <c r="N51" s="162"/>
      <c r="O51" s="161" t="s">
        <v>53</v>
      </c>
      <c r="P51" s="162"/>
      <c r="Q51" s="43"/>
      <c r="R51" s="39" t="s">
        <v>54</v>
      </c>
      <c r="S51" s="39" t="s">
        <v>10</v>
      </c>
      <c r="T51" s="39" t="s">
        <v>11</v>
      </c>
      <c r="U51" s="39" t="s">
        <v>12</v>
      </c>
      <c r="V51" s="39" t="s">
        <v>13</v>
      </c>
      <c r="W51" s="39" t="s">
        <v>14</v>
      </c>
      <c r="X51" s="39" t="s">
        <v>15</v>
      </c>
      <c r="Y51" s="39" t="s">
        <v>16</v>
      </c>
      <c r="Z51" s="39" t="s">
        <v>17</v>
      </c>
      <c r="AA51" s="47"/>
      <c r="AB51" s="43"/>
      <c r="AC51" s="43"/>
      <c r="AD51" s="43"/>
      <c r="AE51" s="43"/>
      <c r="AF51" s="43"/>
      <c r="AG51" s="43"/>
      <c r="AH51" s="43"/>
      <c r="AI51" s="52"/>
      <c r="AJ51" s="49"/>
      <c r="AK51" s="50"/>
      <c r="AL51" s="50"/>
      <c r="AM51" s="50"/>
      <c r="AN51" s="50"/>
      <c r="AO51" s="50"/>
      <c r="AP51" s="50"/>
      <c r="AQ51" s="50"/>
      <c r="AR51" s="1"/>
      <c r="AS51" s="49"/>
      <c r="AT51" s="41"/>
      <c r="AU51" s="41"/>
      <c r="AV51" s="41"/>
      <c r="AW51" s="41"/>
      <c r="AX51" s="41"/>
      <c r="AY51" s="41"/>
      <c r="AZ51" s="41"/>
      <c r="BA51" s="41"/>
      <c r="BB51" s="51"/>
      <c r="BC51" s="1"/>
      <c r="BD51" s="1"/>
      <c r="BE51" s="1"/>
      <c r="BF51" s="1"/>
      <c r="BG51" s="1"/>
      <c r="BH51" s="1"/>
      <c r="BI51" s="1"/>
    </row>
    <row r="52" spans="1:61" ht="15.75" customHeight="1" x14ac:dyDescent="0.5">
      <c r="A52" s="46" t="s">
        <v>97</v>
      </c>
      <c r="B52" s="35" t="s">
        <v>79</v>
      </c>
      <c r="C52" s="34">
        <v>0.5</v>
      </c>
      <c r="D52" s="38"/>
      <c r="E52" s="34">
        <v>0.5</v>
      </c>
      <c r="F52" s="38"/>
      <c r="G52" s="34">
        <v>0.8</v>
      </c>
      <c r="H52" s="38"/>
      <c r="I52" s="34">
        <v>1.1000000000000001</v>
      </c>
      <c r="J52" s="38"/>
      <c r="K52" s="34">
        <v>1.2</v>
      </c>
      <c r="L52" s="38"/>
      <c r="M52" s="34" t="s">
        <v>76</v>
      </c>
      <c r="N52" s="38"/>
      <c r="O52" s="34" t="s">
        <v>76</v>
      </c>
      <c r="P52" s="38"/>
      <c r="Q52" s="43"/>
      <c r="R52" s="35" t="s">
        <v>254</v>
      </c>
      <c r="S52" s="37">
        <v>0.05</v>
      </c>
      <c r="T52" s="37">
        <v>0.25</v>
      </c>
      <c r="U52" s="37">
        <v>0.9</v>
      </c>
      <c r="V52" s="37">
        <v>0</v>
      </c>
      <c r="W52" s="37">
        <v>0.9</v>
      </c>
      <c r="X52" s="37">
        <v>0.4</v>
      </c>
      <c r="Y52" s="37">
        <v>1</v>
      </c>
      <c r="Z52" s="37">
        <v>0.4</v>
      </c>
      <c r="AA52" s="47"/>
      <c r="AB52" s="43"/>
      <c r="AC52" s="43"/>
      <c r="AD52" s="43"/>
      <c r="AE52" s="43"/>
      <c r="AF52" s="43"/>
      <c r="AG52" s="43"/>
      <c r="AH52" s="43"/>
      <c r="BB52" s="51"/>
      <c r="BC52" s="1"/>
      <c r="BD52" s="1"/>
      <c r="BE52" s="1"/>
      <c r="BF52" s="1"/>
      <c r="BG52" s="1"/>
      <c r="BH52" s="1"/>
      <c r="BI52" s="1"/>
    </row>
    <row r="53" spans="1:61" ht="15.75" customHeight="1" x14ac:dyDescent="0.5">
      <c r="A53" s="58" t="s">
        <v>98</v>
      </c>
      <c r="B53" s="35" t="s">
        <v>79</v>
      </c>
      <c r="C53" s="34">
        <v>0.5</v>
      </c>
      <c r="D53" s="38"/>
      <c r="E53" s="34">
        <v>0.5</v>
      </c>
      <c r="F53" s="38"/>
      <c r="G53" s="34">
        <v>0.8</v>
      </c>
      <c r="H53" s="38"/>
      <c r="I53" s="34">
        <v>1.1000000000000001</v>
      </c>
      <c r="J53" s="38"/>
      <c r="K53" s="34">
        <v>1</v>
      </c>
      <c r="L53" s="38"/>
      <c r="M53" s="34" t="s">
        <v>76</v>
      </c>
      <c r="N53" s="38"/>
      <c r="O53" s="34" t="s">
        <v>76</v>
      </c>
      <c r="P53" s="38"/>
      <c r="Q53" s="43"/>
      <c r="R53" s="35" t="s">
        <v>254</v>
      </c>
      <c r="S53" s="37">
        <v>0.05</v>
      </c>
      <c r="T53" s="37">
        <v>0.25</v>
      </c>
      <c r="U53" s="37">
        <v>0.9</v>
      </c>
      <c r="V53" s="37">
        <v>0</v>
      </c>
      <c r="W53" s="37">
        <v>0.9</v>
      </c>
      <c r="X53" s="37">
        <v>0.4</v>
      </c>
      <c r="Y53" s="37">
        <v>1</v>
      </c>
      <c r="Z53" s="37">
        <v>0.4</v>
      </c>
      <c r="AA53" s="47"/>
      <c r="AB53" s="43"/>
      <c r="AC53" s="43"/>
      <c r="AD53" s="43"/>
      <c r="AE53" s="43"/>
      <c r="AF53" s="43"/>
      <c r="AG53" s="43"/>
      <c r="AH53" s="43"/>
      <c r="BB53" s="51"/>
      <c r="BC53" s="1"/>
      <c r="BD53" s="1"/>
      <c r="BE53" s="1"/>
      <c r="BF53" s="1"/>
      <c r="BG53" s="1"/>
      <c r="BH53" s="1"/>
      <c r="BI53" s="1"/>
    </row>
    <row r="54" spans="1:61" ht="15.75" customHeight="1" x14ac:dyDescent="0.5">
      <c r="A54" s="46" t="s">
        <v>99</v>
      </c>
      <c r="B54" s="35" t="s">
        <v>79</v>
      </c>
      <c r="C54" s="34">
        <v>3.2</v>
      </c>
      <c r="D54" s="38"/>
      <c r="E54" s="34">
        <v>3.2</v>
      </c>
      <c r="F54" s="38"/>
      <c r="G54" s="34">
        <v>8</v>
      </c>
      <c r="H54" s="38"/>
      <c r="I54" s="34">
        <v>11.1</v>
      </c>
      <c r="J54" s="38"/>
      <c r="K54" s="34">
        <v>11.4</v>
      </c>
      <c r="L54" s="38"/>
      <c r="M54" s="34" t="s">
        <v>76</v>
      </c>
      <c r="N54" s="38"/>
      <c r="O54" s="34" t="s">
        <v>76</v>
      </c>
      <c r="P54" s="38"/>
      <c r="Q54" s="43"/>
      <c r="R54" s="35" t="s">
        <v>254</v>
      </c>
      <c r="S54" s="37">
        <v>0.05</v>
      </c>
      <c r="T54" s="37">
        <v>0.25</v>
      </c>
      <c r="U54" s="37">
        <v>0.9</v>
      </c>
      <c r="V54" s="37">
        <v>0</v>
      </c>
      <c r="W54" s="37">
        <v>0.9</v>
      </c>
      <c r="X54" s="37">
        <v>0.4</v>
      </c>
      <c r="Y54" s="37">
        <v>1</v>
      </c>
      <c r="Z54" s="37">
        <v>0.4</v>
      </c>
      <c r="AA54" s="47"/>
      <c r="AB54" s="43"/>
      <c r="AC54" s="43"/>
      <c r="AD54" s="43"/>
      <c r="AE54" s="43"/>
      <c r="AF54" s="43"/>
      <c r="AG54" s="43"/>
      <c r="AH54" s="43"/>
      <c r="BB54" s="51"/>
      <c r="BC54" s="1"/>
      <c r="BD54" s="1"/>
      <c r="BE54" s="1"/>
      <c r="BF54" s="1"/>
      <c r="BG54" s="1"/>
      <c r="BH54" s="1"/>
      <c r="BI54" s="1"/>
    </row>
    <row r="55" spans="1:61" ht="15.75" customHeight="1" x14ac:dyDescent="0.5">
      <c r="A55" s="46" t="s">
        <v>100</v>
      </c>
      <c r="B55" s="35" t="s">
        <v>79</v>
      </c>
      <c r="C55" s="34">
        <v>2.6</v>
      </c>
      <c r="D55" s="38"/>
      <c r="E55" s="34">
        <v>2.6</v>
      </c>
      <c r="F55" s="38"/>
      <c r="G55" s="34">
        <v>5.3</v>
      </c>
      <c r="H55" s="38"/>
      <c r="I55" s="34">
        <v>7.9</v>
      </c>
      <c r="J55" s="38"/>
      <c r="K55" s="34">
        <v>8.3000000000000007</v>
      </c>
      <c r="L55" s="38"/>
      <c r="M55" s="34" t="s">
        <v>76</v>
      </c>
      <c r="N55" s="38"/>
      <c r="O55" s="34" t="s">
        <v>76</v>
      </c>
      <c r="P55" s="38"/>
      <c r="Q55" s="43"/>
      <c r="R55" s="35" t="s">
        <v>254</v>
      </c>
      <c r="S55" s="37">
        <v>0.05</v>
      </c>
      <c r="T55" s="37">
        <v>0.25</v>
      </c>
      <c r="U55" s="37">
        <v>0.9</v>
      </c>
      <c r="V55" s="37">
        <v>0</v>
      </c>
      <c r="W55" s="37">
        <v>0.9</v>
      </c>
      <c r="X55" s="37">
        <v>0.4</v>
      </c>
      <c r="Y55" s="37">
        <v>1</v>
      </c>
      <c r="Z55" s="37">
        <v>0.4</v>
      </c>
      <c r="AA55" s="47"/>
      <c r="AB55" s="43"/>
      <c r="AC55" s="43"/>
      <c r="AD55" s="43"/>
      <c r="AE55" s="43"/>
      <c r="AF55" s="43"/>
      <c r="AG55" s="43"/>
      <c r="AH55" s="43"/>
      <c r="BB55" s="51"/>
      <c r="BC55" s="1"/>
      <c r="BD55" s="1"/>
      <c r="BE55" s="1"/>
      <c r="BF55" s="1"/>
      <c r="BG55" s="1"/>
      <c r="BH55" s="1"/>
      <c r="BI55" s="1"/>
    </row>
    <row r="56" spans="1:61" ht="15.75" customHeight="1" x14ac:dyDescent="0.5">
      <c r="A56" s="46" t="s">
        <v>101</v>
      </c>
      <c r="B56" s="35" t="s">
        <v>79</v>
      </c>
      <c r="C56" s="34">
        <v>7.3</v>
      </c>
      <c r="D56" s="38"/>
      <c r="E56" s="34">
        <v>7.3</v>
      </c>
      <c r="F56" s="38"/>
      <c r="G56" s="34">
        <v>8</v>
      </c>
      <c r="H56" s="38"/>
      <c r="I56" s="34">
        <v>9.3000000000000007</v>
      </c>
      <c r="J56" s="38"/>
      <c r="K56" s="34">
        <v>10.7</v>
      </c>
      <c r="L56" s="38"/>
      <c r="M56" s="34" t="s">
        <v>76</v>
      </c>
      <c r="N56" s="38"/>
      <c r="O56" s="34" t="s">
        <v>76</v>
      </c>
      <c r="P56" s="38"/>
      <c r="Q56" s="43"/>
      <c r="R56" s="35" t="s">
        <v>254</v>
      </c>
      <c r="S56" s="37">
        <v>0.05</v>
      </c>
      <c r="T56" s="37">
        <v>0.25</v>
      </c>
      <c r="U56" s="37">
        <v>0.9</v>
      </c>
      <c r="V56" s="37">
        <v>0</v>
      </c>
      <c r="W56" s="37">
        <v>0.9</v>
      </c>
      <c r="X56" s="37">
        <v>0.4</v>
      </c>
      <c r="Y56" s="37">
        <v>1</v>
      </c>
      <c r="Z56" s="37">
        <v>0.4</v>
      </c>
      <c r="AA56" s="47"/>
      <c r="AB56" s="43"/>
      <c r="AC56" s="43"/>
      <c r="AD56" s="43"/>
      <c r="AE56" s="43"/>
      <c r="AF56" s="43"/>
      <c r="AG56" s="43"/>
      <c r="AH56" s="43"/>
      <c r="BB56" s="51"/>
      <c r="BC56" s="1"/>
      <c r="BD56" s="1"/>
      <c r="BE56" s="1"/>
      <c r="BF56" s="1"/>
      <c r="BG56" s="1"/>
      <c r="BH56" s="1"/>
      <c r="BI56" s="1"/>
    </row>
    <row r="57" spans="1:61" ht="15.75" customHeight="1" x14ac:dyDescent="0.5">
      <c r="A57" s="46" t="s">
        <v>102</v>
      </c>
      <c r="B57" s="35" t="s">
        <v>79</v>
      </c>
      <c r="C57" s="34">
        <v>2.9</v>
      </c>
      <c r="D57" s="38"/>
      <c r="E57" s="34">
        <v>2.9</v>
      </c>
      <c r="F57" s="38"/>
      <c r="G57" s="34">
        <v>3.4</v>
      </c>
      <c r="H57" s="38"/>
      <c r="I57" s="34">
        <v>4</v>
      </c>
      <c r="J57" s="38"/>
      <c r="K57" s="34">
        <v>4.2</v>
      </c>
      <c r="L57" s="38"/>
      <c r="M57" s="34" t="s">
        <v>76</v>
      </c>
      <c r="N57" s="38"/>
      <c r="O57" s="34" t="s">
        <v>76</v>
      </c>
      <c r="P57" s="38"/>
      <c r="Q57" s="43"/>
      <c r="R57" s="35" t="s">
        <v>254</v>
      </c>
      <c r="S57" s="37">
        <v>0.05</v>
      </c>
      <c r="T57" s="37">
        <v>0.25</v>
      </c>
      <c r="U57" s="37">
        <v>0.9</v>
      </c>
      <c r="V57" s="37">
        <v>0</v>
      </c>
      <c r="W57" s="37">
        <v>0.9</v>
      </c>
      <c r="X57" s="37">
        <v>0.4</v>
      </c>
      <c r="Y57" s="37">
        <v>1</v>
      </c>
      <c r="Z57" s="37">
        <v>0.4</v>
      </c>
      <c r="AA57" s="47"/>
      <c r="AB57" s="43"/>
      <c r="AC57" s="43"/>
      <c r="AD57" s="43"/>
      <c r="AE57" s="43"/>
      <c r="AF57" s="43"/>
      <c r="AG57" s="43"/>
      <c r="AH57" s="43"/>
      <c r="BB57" s="51"/>
      <c r="BC57" s="1"/>
      <c r="BD57" s="1"/>
      <c r="BE57" s="1"/>
      <c r="BF57" s="1"/>
      <c r="BG57" s="1"/>
      <c r="BH57" s="1"/>
      <c r="BI57" s="1"/>
    </row>
    <row r="58" spans="1:61" ht="15.75" customHeight="1" x14ac:dyDescent="0.5">
      <c r="A58" s="46" t="s">
        <v>103</v>
      </c>
      <c r="B58" s="35" t="s">
        <v>79</v>
      </c>
      <c r="C58" s="34">
        <v>5.7</v>
      </c>
      <c r="D58" s="38"/>
      <c r="E58" s="34">
        <v>5.7</v>
      </c>
      <c r="F58" s="38"/>
      <c r="G58" s="34">
        <v>6.1</v>
      </c>
      <c r="H58" s="38"/>
      <c r="I58" s="34">
        <v>6.5</v>
      </c>
      <c r="J58" s="38"/>
      <c r="K58" s="34">
        <v>6.7</v>
      </c>
      <c r="L58" s="38"/>
      <c r="M58" s="34" t="s">
        <v>76</v>
      </c>
      <c r="N58" s="38"/>
      <c r="O58" s="34" t="s">
        <v>76</v>
      </c>
      <c r="P58" s="38"/>
      <c r="Q58" s="43"/>
      <c r="R58" s="35" t="s">
        <v>254</v>
      </c>
      <c r="S58" s="37">
        <v>0.05</v>
      </c>
      <c r="T58" s="37">
        <v>0.25</v>
      </c>
      <c r="U58" s="37">
        <v>0.9</v>
      </c>
      <c r="V58" s="37">
        <v>0</v>
      </c>
      <c r="W58" s="37">
        <v>0.9</v>
      </c>
      <c r="X58" s="37">
        <v>0.4</v>
      </c>
      <c r="Y58" s="37">
        <v>1</v>
      </c>
      <c r="Z58" s="37">
        <v>0.4</v>
      </c>
      <c r="AA58" s="47"/>
      <c r="AB58" s="43"/>
      <c r="AC58" s="43"/>
      <c r="AD58" s="43"/>
      <c r="AE58" s="43"/>
      <c r="AF58" s="43"/>
      <c r="AG58" s="43"/>
      <c r="AH58" s="43"/>
      <c r="BB58" s="51"/>
      <c r="BC58" s="1"/>
      <c r="BD58" s="1"/>
      <c r="BE58" s="1"/>
      <c r="BF58" s="1"/>
      <c r="BG58" s="1"/>
      <c r="BH58" s="1"/>
      <c r="BI58" s="1"/>
    </row>
    <row r="59" spans="1:61" ht="15.75" customHeight="1" x14ac:dyDescent="0.5">
      <c r="A59" s="46" t="s">
        <v>245</v>
      </c>
      <c r="B59" s="35" t="s">
        <v>79</v>
      </c>
      <c r="C59" s="34">
        <v>1.5</v>
      </c>
      <c r="D59" s="38"/>
      <c r="E59" s="34">
        <v>1.5</v>
      </c>
      <c r="F59" s="38"/>
      <c r="G59" s="34">
        <v>2.2000000000000002</v>
      </c>
      <c r="H59" s="38"/>
      <c r="I59" s="34">
        <v>2.9</v>
      </c>
      <c r="J59" s="38"/>
      <c r="K59" s="34">
        <v>2.9</v>
      </c>
      <c r="L59" s="38"/>
      <c r="M59" s="34">
        <v>2.9</v>
      </c>
      <c r="N59" s="38"/>
      <c r="O59" s="34" t="s">
        <v>76</v>
      </c>
      <c r="P59" s="38"/>
      <c r="Q59" s="43"/>
      <c r="R59" s="35" t="s">
        <v>245</v>
      </c>
      <c r="S59" s="37">
        <v>0.5</v>
      </c>
      <c r="T59" s="37">
        <v>0.5</v>
      </c>
      <c r="U59" s="37">
        <v>0.8</v>
      </c>
      <c r="V59" s="37">
        <v>0</v>
      </c>
      <c r="W59" s="37">
        <v>0.8</v>
      </c>
      <c r="X59" s="37">
        <v>0.9</v>
      </c>
      <c r="Y59" s="37">
        <v>0.9</v>
      </c>
      <c r="Z59" s="37">
        <v>0.9</v>
      </c>
      <c r="AA59" s="47"/>
      <c r="AB59" s="43"/>
      <c r="AC59" s="43"/>
      <c r="AD59" s="43"/>
      <c r="AE59" s="43"/>
      <c r="AF59" s="43"/>
      <c r="AG59" s="43"/>
      <c r="AH59" s="43"/>
      <c r="BB59" s="51"/>
      <c r="BC59" s="1"/>
      <c r="BD59" s="1"/>
      <c r="BE59" s="1"/>
      <c r="BF59" s="1"/>
      <c r="BG59" s="1"/>
      <c r="BH59" s="1"/>
      <c r="BI59" s="1"/>
    </row>
    <row r="60" spans="1:61" ht="15.75" customHeight="1" x14ac:dyDescent="0.5">
      <c r="A60" s="46" t="s">
        <v>104</v>
      </c>
      <c r="B60" s="35" t="s">
        <v>105</v>
      </c>
      <c r="C60" s="34">
        <v>1.6</v>
      </c>
      <c r="D60" s="38"/>
      <c r="E60" s="34">
        <v>1.6</v>
      </c>
      <c r="F60" s="38"/>
      <c r="G60" s="34">
        <v>2.2999999999999998</v>
      </c>
      <c r="H60" s="38"/>
      <c r="I60" s="34">
        <v>2.8</v>
      </c>
      <c r="J60" s="38"/>
      <c r="K60" s="34">
        <v>3.3</v>
      </c>
      <c r="L60" s="38"/>
      <c r="M60" s="34" t="s">
        <v>76</v>
      </c>
      <c r="N60" s="38"/>
      <c r="O60" s="34" t="s">
        <v>76</v>
      </c>
      <c r="P60" s="38"/>
      <c r="Q60" s="43"/>
      <c r="R60" s="35" t="s">
        <v>254</v>
      </c>
      <c r="S60" s="37">
        <v>0.05</v>
      </c>
      <c r="T60" s="37">
        <v>0.25</v>
      </c>
      <c r="U60" s="37">
        <v>0.9</v>
      </c>
      <c r="V60" s="37">
        <v>0</v>
      </c>
      <c r="W60" s="37">
        <v>0.9</v>
      </c>
      <c r="X60" s="37">
        <v>0.4</v>
      </c>
      <c r="Y60" s="37">
        <v>1</v>
      </c>
      <c r="Z60" s="37">
        <v>0.4</v>
      </c>
      <c r="AA60" s="47"/>
      <c r="AB60" s="43"/>
      <c r="AC60" s="43"/>
      <c r="AD60" s="43"/>
      <c r="AE60" s="43"/>
      <c r="AF60" s="43"/>
      <c r="AG60" s="43"/>
      <c r="AH60" s="43"/>
      <c r="BB60" s="51"/>
      <c r="BC60" s="1"/>
      <c r="BD60" s="1"/>
      <c r="BE60" s="1"/>
      <c r="BF60" s="1"/>
      <c r="BG60" s="1"/>
      <c r="BH60" s="1"/>
      <c r="BI60" s="1"/>
    </row>
    <row r="61" spans="1:61" ht="15.75" customHeight="1" x14ac:dyDescent="0.5">
      <c r="A61" s="46" t="s">
        <v>106</v>
      </c>
      <c r="B61" s="35" t="s">
        <v>107</v>
      </c>
      <c r="C61" s="34">
        <v>0.8</v>
      </c>
      <c r="D61" s="38"/>
      <c r="E61" s="34">
        <v>0.8</v>
      </c>
      <c r="F61" s="38"/>
      <c r="G61" s="34">
        <v>1.1000000000000001</v>
      </c>
      <c r="H61" s="38"/>
      <c r="I61" s="34">
        <v>1.3</v>
      </c>
      <c r="J61" s="38"/>
      <c r="K61" s="34">
        <v>1.5</v>
      </c>
      <c r="L61" s="38"/>
      <c r="M61" s="34" t="s">
        <v>76</v>
      </c>
      <c r="N61" s="38"/>
      <c r="O61" s="34" t="s">
        <v>76</v>
      </c>
      <c r="P61" s="38"/>
      <c r="Q61" s="43"/>
      <c r="R61" s="35" t="s">
        <v>254</v>
      </c>
      <c r="S61" s="37">
        <v>0.05</v>
      </c>
      <c r="T61" s="37">
        <v>0.25</v>
      </c>
      <c r="U61" s="37">
        <v>0.9</v>
      </c>
      <c r="V61" s="37">
        <v>0</v>
      </c>
      <c r="W61" s="37">
        <v>0.9</v>
      </c>
      <c r="X61" s="37">
        <v>0.4</v>
      </c>
      <c r="Y61" s="37">
        <v>1</v>
      </c>
      <c r="Z61" s="37">
        <v>0.4</v>
      </c>
      <c r="AA61" s="47"/>
      <c r="AB61" s="43"/>
      <c r="AC61" s="43"/>
      <c r="AD61" s="43"/>
      <c r="AE61" s="43"/>
      <c r="AF61" s="43"/>
      <c r="AG61" s="43"/>
      <c r="AH61" s="43"/>
      <c r="BB61" s="51"/>
      <c r="BC61" s="1"/>
      <c r="BD61" s="1"/>
      <c r="BE61" s="1"/>
      <c r="BF61" s="1"/>
      <c r="BG61" s="1"/>
      <c r="BH61" s="1"/>
      <c r="BI61" s="1"/>
    </row>
    <row r="62" spans="1:61" ht="15.75" customHeight="1" x14ac:dyDescent="0.5">
      <c r="A62" s="46" t="s">
        <v>108</v>
      </c>
      <c r="B62" s="35" t="s">
        <v>79</v>
      </c>
      <c r="C62" s="34">
        <v>1.5</v>
      </c>
      <c r="D62" s="38"/>
      <c r="E62" s="34">
        <v>1.5</v>
      </c>
      <c r="F62" s="38"/>
      <c r="G62" s="34">
        <v>3.9</v>
      </c>
      <c r="H62" s="38"/>
      <c r="I62" s="34">
        <v>5.5</v>
      </c>
      <c r="J62" s="38"/>
      <c r="K62" s="34">
        <v>5.6</v>
      </c>
      <c r="L62" s="38"/>
      <c r="M62" s="34" t="s">
        <v>76</v>
      </c>
      <c r="N62" s="38"/>
      <c r="O62" s="34" t="s">
        <v>76</v>
      </c>
      <c r="P62" s="38"/>
      <c r="Q62" s="43"/>
      <c r="R62" s="35" t="s">
        <v>255</v>
      </c>
      <c r="S62" s="37">
        <v>0.5</v>
      </c>
      <c r="T62" s="37">
        <v>0.5</v>
      </c>
      <c r="U62" s="37">
        <v>1</v>
      </c>
      <c r="V62" s="37">
        <v>0</v>
      </c>
      <c r="W62" s="37">
        <v>1</v>
      </c>
      <c r="X62" s="37">
        <v>1</v>
      </c>
      <c r="Y62" s="37">
        <v>1</v>
      </c>
      <c r="Z62" s="37">
        <v>0.75</v>
      </c>
      <c r="AA62" s="47"/>
      <c r="AB62" s="43"/>
      <c r="AC62" s="43"/>
      <c r="AD62" s="43"/>
      <c r="AE62" s="43"/>
      <c r="AF62" s="43"/>
      <c r="AG62" s="43"/>
      <c r="AH62" s="43"/>
      <c r="BB62" s="51"/>
      <c r="BC62" s="1"/>
      <c r="BD62" s="1"/>
      <c r="BE62" s="1"/>
      <c r="BF62" s="1"/>
      <c r="BG62" s="1"/>
      <c r="BH62" s="1"/>
      <c r="BI62" s="1"/>
    </row>
    <row r="63" spans="1:61" ht="15.75" customHeight="1" x14ac:dyDescent="0.5">
      <c r="A63" s="46" t="s">
        <v>109</v>
      </c>
      <c r="B63" s="35" t="s">
        <v>79</v>
      </c>
      <c r="C63" s="34">
        <v>1.4</v>
      </c>
      <c r="D63" s="38"/>
      <c r="E63" s="34">
        <v>1.4</v>
      </c>
      <c r="F63" s="38"/>
      <c r="G63" s="34">
        <v>3.4</v>
      </c>
      <c r="H63" s="38"/>
      <c r="I63" s="34">
        <v>4.8</v>
      </c>
      <c r="J63" s="38"/>
      <c r="K63" s="34">
        <v>4.9000000000000004</v>
      </c>
      <c r="L63" s="38"/>
      <c r="M63" s="34">
        <v>4</v>
      </c>
      <c r="N63" s="38"/>
      <c r="O63" s="34" t="s">
        <v>76</v>
      </c>
      <c r="P63" s="38"/>
      <c r="Q63" s="43"/>
      <c r="R63" s="35" t="s">
        <v>255</v>
      </c>
      <c r="S63" s="37">
        <v>0.5</v>
      </c>
      <c r="T63" s="37">
        <v>0.5</v>
      </c>
      <c r="U63" s="37">
        <v>1</v>
      </c>
      <c r="V63" s="37">
        <v>0</v>
      </c>
      <c r="W63" s="37">
        <v>1</v>
      </c>
      <c r="X63" s="37">
        <v>1</v>
      </c>
      <c r="Y63" s="37">
        <v>1</v>
      </c>
      <c r="Z63" s="37">
        <v>0.75</v>
      </c>
      <c r="AA63" s="47"/>
      <c r="AB63" s="43"/>
      <c r="AC63" s="43"/>
      <c r="AD63" s="43"/>
      <c r="AE63" s="43"/>
      <c r="AF63" s="43"/>
      <c r="AG63" s="43"/>
      <c r="AH63" s="43"/>
      <c r="BB63" s="51"/>
      <c r="BC63" s="1"/>
      <c r="BD63" s="1"/>
      <c r="BE63" s="1"/>
      <c r="BF63" s="1"/>
      <c r="BG63" s="1"/>
      <c r="BH63" s="1"/>
      <c r="BI63" s="1"/>
    </row>
    <row r="64" spans="1:61" ht="15.75" customHeight="1" x14ac:dyDescent="0.5">
      <c r="A64" s="46" t="s">
        <v>110</v>
      </c>
      <c r="B64" s="35" t="s">
        <v>79</v>
      </c>
      <c r="C64" s="34">
        <v>1.7</v>
      </c>
      <c r="D64" s="38"/>
      <c r="E64" s="34">
        <v>1.7</v>
      </c>
      <c r="F64" s="38"/>
      <c r="G64" s="34">
        <v>4.5</v>
      </c>
      <c r="H64" s="38"/>
      <c r="I64" s="34">
        <v>6.3</v>
      </c>
      <c r="J64" s="38"/>
      <c r="K64" s="34">
        <v>6.4</v>
      </c>
      <c r="L64" s="38"/>
      <c r="M64" s="34" t="s">
        <v>76</v>
      </c>
      <c r="N64" s="38"/>
      <c r="O64" s="34" t="s">
        <v>76</v>
      </c>
      <c r="P64" s="38"/>
      <c r="Q64" s="43"/>
      <c r="R64" s="35" t="s">
        <v>255</v>
      </c>
      <c r="S64" s="37">
        <v>0.5</v>
      </c>
      <c r="T64" s="37">
        <v>0.5</v>
      </c>
      <c r="U64" s="37">
        <v>1</v>
      </c>
      <c r="V64" s="37">
        <v>0</v>
      </c>
      <c r="W64" s="37">
        <v>1</v>
      </c>
      <c r="X64" s="37">
        <v>1</v>
      </c>
      <c r="Y64" s="37">
        <v>1</v>
      </c>
      <c r="Z64" s="37">
        <v>0.75</v>
      </c>
      <c r="AA64" s="47"/>
      <c r="AB64" s="43"/>
      <c r="AC64" s="43"/>
      <c r="AD64" s="43"/>
      <c r="AE64" s="43"/>
      <c r="AF64" s="43"/>
      <c r="AG64" s="43"/>
      <c r="AH64" s="43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</row>
    <row r="65" spans="1:61" ht="15.75" customHeight="1" x14ac:dyDescent="0.5">
      <c r="A65" s="46" t="s">
        <v>111</v>
      </c>
      <c r="B65" s="35" t="s">
        <v>79</v>
      </c>
      <c r="C65" s="34">
        <v>3.3</v>
      </c>
      <c r="D65" s="38"/>
      <c r="E65" s="34">
        <v>3.3</v>
      </c>
      <c r="F65" s="38"/>
      <c r="G65" s="34">
        <v>6.3</v>
      </c>
      <c r="H65" s="38"/>
      <c r="I65" s="34">
        <v>9.3000000000000007</v>
      </c>
      <c r="J65" s="38"/>
      <c r="K65" s="34">
        <v>9.3000000000000007</v>
      </c>
      <c r="L65" s="38"/>
      <c r="M65" s="34" t="s">
        <v>76</v>
      </c>
      <c r="N65" s="38"/>
      <c r="O65" s="34" t="s">
        <v>76</v>
      </c>
      <c r="P65" s="38"/>
      <c r="Q65" s="43"/>
      <c r="R65" s="35" t="s">
        <v>255</v>
      </c>
      <c r="S65" s="37">
        <v>0.5</v>
      </c>
      <c r="T65" s="37">
        <v>0.5</v>
      </c>
      <c r="U65" s="37">
        <v>1</v>
      </c>
      <c r="V65" s="37">
        <v>0</v>
      </c>
      <c r="W65" s="37">
        <v>1</v>
      </c>
      <c r="X65" s="37">
        <v>1</v>
      </c>
      <c r="Y65" s="37">
        <v>1</v>
      </c>
      <c r="Z65" s="37">
        <v>0.75</v>
      </c>
      <c r="AA65" s="47"/>
      <c r="AB65" s="43"/>
      <c r="AC65" s="43"/>
      <c r="AD65" s="43"/>
      <c r="AE65" s="43"/>
      <c r="AF65" s="43"/>
      <c r="AG65" s="43"/>
      <c r="AH65" s="43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1:61" ht="15.75" customHeight="1" x14ac:dyDescent="0.5">
      <c r="A66" s="46" t="s">
        <v>112</v>
      </c>
      <c r="B66" s="35" t="s">
        <v>79</v>
      </c>
      <c r="C66" s="34">
        <v>2.5</v>
      </c>
      <c r="D66" s="38"/>
      <c r="E66" s="34">
        <v>2.5</v>
      </c>
      <c r="F66" s="38"/>
      <c r="G66" s="34">
        <v>4.5999999999999996</v>
      </c>
      <c r="H66" s="38"/>
      <c r="I66" s="34">
        <v>6.7</v>
      </c>
      <c r="J66" s="38"/>
      <c r="K66" s="34">
        <v>6.7</v>
      </c>
      <c r="L66" s="38"/>
      <c r="M66" s="34" t="s">
        <v>76</v>
      </c>
      <c r="N66" s="38"/>
      <c r="O66" s="34" t="s">
        <v>76</v>
      </c>
      <c r="P66" s="38"/>
      <c r="Q66" s="43"/>
      <c r="R66" s="35" t="s">
        <v>255</v>
      </c>
      <c r="S66" s="37">
        <v>0.5</v>
      </c>
      <c r="T66" s="37">
        <v>0.5</v>
      </c>
      <c r="U66" s="37">
        <v>1</v>
      </c>
      <c r="V66" s="37">
        <v>0</v>
      </c>
      <c r="W66" s="37">
        <v>1</v>
      </c>
      <c r="X66" s="37">
        <v>1</v>
      </c>
      <c r="Y66" s="37">
        <v>1</v>
      </c>
      <c r="Z66" s="37">
        <v>0.75</v>
      </c>
      <c r="AA66" s="47"/>
      <c r="AB66" s="43"/>
      <c r="AC66" s="43"/>
      <c r="AD66" s="43"/>
      <c r="AE66" s="43"/>
      <c r="AF66" s="43"/>
      <c r="AG66" s="43"/>
      <c r="AH66" s="43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1:61" ht="15.75" customHeight="1" x14ac:dyDescent="0.5">
      <c r="A67" s="46" t="s">
        <v>113</v>
      </c>
      <c r="B67" s="35" t="s">
        <v>79</v>
      </c>
      <c r="C67" s="34">
        <v>1.4</v>
      </c>
      <c r="D67" s="38"/>
      <c r="E67" s="34">
        <v>1.4</v>
      </c>
      <c r="F67" s="38"/>
      <c r="G67" s="34">
        <v>2.1</v>
      </c>
      <c r="H67" s="38"/>
      <c r="I67" s="34">
        <v>2.8</v>
      </c>
      <c r="J67" s="38"/>
      <c r="K67" s="34">
        <v>2.8</v>
      </c>
      <c r="L67" s="38"/>
      <c r="M67" s="34" t="s">
        <v>76</v>
      </c>
      <c r="N67" s="38"/>
      <c r="O67" s="34" t="s">
        <v>76</v>
      </c>
      <c r="P67" s="38"/>
      <c r="Q67" s="43"/>
      <c r="R67" s="35" t="s">
        <v>255</v>
      </c>
      <c r="S67" s="37">
        <v>0.5</v>
      </c>
      <c r="T67" s="37">
        <v>0.5</v>
      </c>
      <c r="U67" s="37">
        <v>1</v>
      </c>
      <c r="V67" s="37">
        <v>0</v>
      </c>
      <c r="W67" s="37">
        <v>1</v>
      </c>
      <c r="X67" s="37">
        <v>1</v>
      </c>
      <c r="Y67" s="37">
        <v>1</v>
      </c>
      <c r="Z67" s="37">
        <v>0.75</v>
      </c>
      <c r="AA67" s="47"/>
      <c r="AB67" s="43"/>
      <c r="AC67" s="43"/>
      <c r="AD67" s="43"/>
      <c r="AE67" s="43"/>
      <c r="AF67" s="43"/>
      <c r="AG67" s="43"/>
      <c r="AH67" s="43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1:61" ht="15.75" customHeight="1" x14ac:dyDescent="0.5">
      <c r="A68" s="46" t="s">
        <v>114</v>
      </c>
      <c r="B68" s="35" t="s">
        <v>79</v>
      </c>
      <c r="C68" s="34">
        <v>1</v>
      </c>
      <c r="D68" s="38"/>
      <c r="E68" s="34">
        <v>1</v>
      </c>
      <c r="F68" s="38"/>
      <c r="G68" s="34">
        <v>1.9</v>
      </c>
      <c r="H68" s="38"/>
      <c r="I68" s="34">
        <v>2.8</v>
      </c>
      <c r="J68" s="38"/>
      <c r="K68" s="34">
        <v>2.8</v>
      </c>
      <c r="L68" s="38"/>
      <c r="M68" s="34">
        <v>2.8</v>
      </c>
      <c r="N68" s="38"/>
      <c r="O68" s="34" t="s">
        <v>76</v>
      </c>
      <c r="P68" s="38"/>
      <c r="Q68" s="43"/>
      <c r="R68" s="35" t="s">
        <v>255</v>
      </c>
      <c r="S68" s="37">
        <v>0.5</v>
      </c>
      <c r="T68" s="37">
        <v>0.5</v>
      </c>
      <c r="U68" s="37">
        <v>1</v>
      </c>
      <c r="V68" s="37">
        <v>0</v>
      </c>
      <c r="W68" s="37">
        <v>1</v>
      </c>
      <c r="X68" s="37">
        <v>1</v>
      </c>
      <c r="Y68" s="37">
        <v>1</v>
      </c>
      <c r="Z68" s="37">
        <v>0.75</v>
      </c>
      <c r="AA68" s="47"/>
      <c r="AB68" s="43"/>
      <c r="AC68" s="43"/>
      <c r="AD68" s="43"/>
      <c r="AE68" s="43"/>
      <c r="AF68" s="43"/>
      <c r="AG68" s="43"/>
      <c r="AH68" s="43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1:61" ht="15.75" customHeight="1" x14ac:dyDescent="0.5">
      <c r="A69" s="46" t="s">
        <v>115</v>
      </c>
      <c r="B69" s="35" t="s">
        <v>105</v>
      </c>
      <c r="C69" s="34">
        <v>0.3</v>
      </c>
      <c r="D69" s="38"/>
      <c r="E69" s="34">
        <v>0.3</v>
      </c>
      <c r="F69" s="38"/>
      <c r="G69" s="34">
        <v>0.4</v>
      </c>
      <c r="H69" s="38"/>
      <c r="I69" s="34">
        <v>0.5</v>
      </c>
      <c r="J69" s="38"/>
      <c r="K69" s="34">
        <v>2.9</v>
      </c>
      <c r="L69" s="38"/>
      <c r="M69" s="34">
        <v>2.9</v>
      </c>
      <c r="N69" s="38"/>
      <c r="O69" s="34" t="s">
        <v>76</v>
      </c>
      <c r="P69" s="38"/>
      <c r="Q69" s="43"/>
      <c r="R69" s="35" t="s">
        <v>255</v>
      </c>
      <c r="S69" s="37">
        <v>0.5</v>
      </c>
      <c r="T69" s="37">
        <v>0.5</v>
      </c>
      <c r="U69" s="37">
        <v>1</v>
      </c>
      <c r="V69" s="37">
        <v>0</v>
      </c>
      <c r="W69" s="37">
        <v>1</v>
      </c>
      <c r="X69" s="37">
        <v>1</v>
      </c>
      <c r="Y69" s="37">
        <v>1</v>
      </c>
      <c r="Z69" s="37">
        <v>0.75</v>
      </c>
      <c r="AA69" s="47"/>
      <c r="AB69" s="43"/>
      <c r="AC69" s="43"/>
      <c r="AD69" s="43"/>
      <c r="AE69" s="43"/>
      <c r="AF69" s="43"/>
      <c r="AG69" s="43"/>
      <c r="AH69" s="43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</row>
    <row r="70" spans="1:61" ht="15.75" customHeight="1" x14ac:dyDescent="0.5">
      <c r="A70" s="46" t="s">
        <v>116</v>
      </c>
      <c r="B70" s="35" t="s">
        <v>105</v>
      </c>
      <c r="C70" s="34">
        <v>1.6</v>
      </c>
      <c r="D70" s="38"/>
      <c r="E70" s="34">
        <v>1.6</v>
      </c>
      <c r="F70" s="38"/>
      <c r="G70" s="34">
        <v>2.4</v>
      </c>
      <c r="H70" s="38"/>
      <c r="I70" s="34">
        <v>2.7</v>
      </c>
      <c r="J70" s="38"/>
      <c r="K70" s="34">
        <v>1.9</v>
      </c>
      <c r="L70" s="38"/>
      <c r="M70" s="34" t="s">
        <v>76</v>
      </c>
      <c r="N70" s="38"/>
      <c r="O70" s="34" t="s">
        <v>76</v>
      </c>
      <c r="P70" s="38"/>
      <c r="Q70" s="43"/>
      <c r="R70" s="35" t="s">
        <v>255</v>
      </c>
      <c r="S70" s="37">
        <v>0.5</v>
      </c>
      <c r="T70" s="37">
        <v>0.5</v>
      </c>
      <c r="U70" s="37">
        <v>1</v>
      </c>
      <c r="V70" s="37">
        <v>0</v>
      </c>
      <c r="W70" s="37">
        <v>1</v>
      </c>
      <c r="X70" s="37">
        <v>1</v>
      </c>
      <c r="Y70" s="37">
        <v>1</v>
      </c>
      <c r="Z70" s="37">
        <v>0.75</v>
      </c>
      <c r="AA70" s="47"/>
      <c r="AB70" s="43"/>
      <c r="AC70" s="43"/>
      <c r="AD70" s="43"/>
      <c r="AE70" s="43"/>
      <c r="AF70" s="43"/>
      <c r="AG70" s="43"/>
      <c r="AH70" s="43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</row>
    <row r="71" spans="1:61" ht="15.75" customHeight="1" x14ac:dyDescent="0.5">
      <c r="A71" s="46" t="s">
        <v>246</v>
      </c>
      <c r="B71" s="35" t="s">
        <v>117</v>
      </c>
      <c r="C71" s="34">
        <v>9.9</v>
      </c>
      <c r="D71" s="38"/>
      <c r="E71" s="34">
        <v>9.9</v>
      </c>
      <c r="F71" s="38"/>
      <c r="G71" s="34">
        <v>10.7</v>
      </c>
      <c r="H71" s="38"/>
      <c r="I71" s="34">
        <v>11.5</v>
      </c>
      <c r="J71" s="38"/>
      <c r="K71" s="34">
        <v>11.9</v>
      </c>
      <c r="L71" s="38"/>
      <c r="M71" s="34" t="s">
        <v>76</v>
      </c>
      <c r="N71" s="38"/>
      <c r="O71" s="34" t="s">
        <v>76</v>
      </c>
      <c r="P71" s="38"/>
      <c r="Q71" s="43"/>
      <c r="R71" s="35" t="s">
        <v>255</v>
      </c>
      <c r="S71" s="37">
        <v>0.5</v>
      </c>
      <c r="T71" s="37">
        <v>0.5</v>
      </c>
      <c r="U71" s="37">
        <v>1</v>
      </c>
      <c r="V71" s="37">
        <v>0</v>
      </c>
      <c r="W71" s="37">
        <v>1</v>
      </c>
      <c r="X71" s="37">
        <v>1</v>
      </c>
      <c r="Y71" s="37">
        <v>1</v>
      </c>
      <c r="Z71" s="37">
        <v>0.75</v>
      </c>
      <c r="AA71" s="47"/>
      <c r="AB71" s="43"/>
      <c r="AC71" s="43"/>
      <c r="AD71" s="43"/>
      <c r="AE71" s="43"/>
      <c r="AF71" s="43"/>
      <c r="AG71" s="43"/>
      <c r="AH71" s="43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</row>
    <row r="72" spans="1:61" ht="15.75" customHeight="1" x14ac:dyDescent="0.5">
      <c r="A72" s="46" t="s">
        <v>118</v>
      </c>
      <c r="B72" s="35" t="s">
        <v>117</v>
      </c>
      <c r="C72" s="34">
        <v>7.3</v>
      </c>
      <c r="D72" s="38"/>
      <c r="E72" s="34">
        <v>7.3</v>
      </c>
      <c r="F72" s="38"/>
      <c r="G72" s="34">
        <v>10.1</v>
      </c>
      <c r="H72" s="38"/>
      <c r="I72" s="34">
        <v>12.9</v>
      </c>
      <c r="J72" s="38"/>
      <c r="K72" s="34">
        <v>13.2</v>
      </c>
      <c r="L72" s="38"/>
      <c r="M72" s="34" t="s">
        <v>76</v>
      </c>
      <c r="N72" s="38"/>
      <c r="O72" s="34" t="s">
        <v>76</v>
      </c>
      <c r="P72" s="38"/>
      <c r="Q72" s="43"/>
      <c r="R72" s="35" t="s">
        <v>256</v>
      </c>
      <c r="S72" s="37">
        <v>0.25</v>
      </c>
      <c r="T72" s="37">
        <v>0.25</v>
      </c>
      <c r="U72" s="37">
        <v>0.5</v>
      </c>
      <c r="V72" s="37">
        <v>0</v>
      </c>
      <c r="W72" s="37">
        <v>0.5</v>
      </c>
      <c r="X72" s="37">
        <v>1</v>
      </c>
      <c r="Y72" s="37">
        <v>0.25</v>
      </c>
      <c r="Z72" s="37">
        <v>1</v>
      </c>
      <c r="AA72" s="47"/>
      <c r="AB72" s="43"/>
      <c r="AC72" s="43"/>
      <c r="AD72" s="43"/>
      <c r="AE72" s="43"/>
      <c r="AF72" s="43"/>
      <c r="AG72" s="43"/>
      <c r="AH72" s="43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</row>
    <row r="73" spans="1:61" ht="15.75" customHeight="1" x14ac:dyDescent="0.5">
      <c r="A73" s="58" t="s">
        <v>119</v>
      </c>
      <c r="B73" s="35" t="s">
        <v>120</v>
      </c>
      <c r="C73" s="34">
        <v>15</v>
      </c>
      <c r="D73" s="38"/>
      <c r="E73" s="34">
        <v>15</v>
      </c>
      <c r="F73" s="38"/>
      <c r="G73" s="34">
        <v>20</v>
      </c>
      <c r="H73" s="38"/>
      <c r="I73" s="34">
        <v>25</v>
      </c>
      <c r="J73" s="38"/>
      <c r="K73" s="34">
        <v>25.6</v>
      </c>
      <c r="L73" s="38"/>
      <c r="M73" s="34" t="s">
        <v>76</v>
      </c>
      <c r="N73" s="38"/>
      <c r="O73" s="34" t="s">
        <v>76</v>
      </c>
      <c r="P73" s="38"/>
      <c r="Q73" s="43"/>
      <c r="R73" s="35" t="s">
        <v>256</v>
      </c>
      <c r="S73" s="37">
        <v>0.25</v>
      </c>
      <c r="T73" s="37">
        <v>0.25</v>
      </c>
      <c r="U73" s="37">
        <v>0.5</v>
      </c>
      <c r="V73" s="37">
        <v>0</v>
      </c>
      <c r="W73" s="37">
        <v>0.5</v>
      </c>
      <c r="X73" s="37">
        <v>1</v>
      </c>
      <c r="Y73" s="37">
        <v>0.25</v>
      </c>
      <c r="Z73" s="37">
        <v>1</v>
      </c>
      <c r="AA73" s="47"/>
      <c r="AB73" s="43"/>
      <c r="AC73" s="43"/>
      <c r="AD73" s="43"/>
      <c r="AE73" s="43"/>
      <c r="AF73" s="43"/>
      <c r="AG73" s="43"/>
      <c r="AH73" s="43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</row>
    <row r="74" spans="1:61" ht="15.75" customHeight="1" x14ac:dyDescent="0.5">
      <c r="A74" s="58" t="s">
        <v>121</v>
      </c>
      <c r="B74" s="35" t="s">
        <v>122</v>
      </c>
      <c r="C74" s="34">
        <v>0.1</v>
      </c>
      <c r="D74" s="38"/>
      <c r="E74" s="34">
        <v>0.1</v>
      </c>
      <c r="F74" s="38"/>
      <c r="G74" s="34">
        <v>0.2</v>
      </c>
      <c r="H74" s="38"/>
      <c r="I74" s="34">
        <v>0.2</v>
      </c>
      <c r="J74" s="38"/>
      <c r="K74" s="34">
        <v>0.2</v>
      </c>
      <c r="L74" s="38"/>
      <c r="M74" s="34" t="s">
        <v>76</v>
      </c>
      <c r="N74" s="38"/>
      <c r="O74" s="34" t="s">
        <v>76</v>
      </c>
      <c r="P74" s="38"/>
      <c r="Q74" s="43"/>
      <c r="R74" s="35" t="s">
        <v>256</v>
      </c>
      <c r="S74" s="37">
        <v>0.1</v>
      </c>
      <c r="T74" s="37">
        <v>0.1</v>
      </c>
      <c r="U74" s="37">
        <v>0.75</v>
      </c>
      <c r="V74" s="37">
        <v>0</v>
      </c>
      <c r="W74" s="37">
        <v>0.75</v>
      </c>
      <c r="X74" s="37">
        <v>1</v>
      </c>
      <c r="Y74" s="37">
        <v>1</v>
      </c>
      <c r="Z74" s="37">
        <v>1</v>
      </c>
      <c r="AA74" s="47"/>
      <c r="AB74" s="43"/>
      <c r="AC74" s="43"/>
      <c r="AD74" s="43"/>
      <c r="AE74" s="43"/>
      <c r="AF74" s="43"/>
      <c r="AG74" s="43"/>
      <c r="AH74" s="43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</row>
    <row r="75" spans="1:61" ht="15.75" customHeight="1" x14ac:dyDescent="0.5">
      <c r="A75" s="46" t="s">
        <v>123</v>
      </c>
      <c r="B75" s="35" t="s">
        <v>79</v>
      </c>
      <c r="C75" s="34">
        <v>1.1000000000000001</v>
      </c>
      <c r="D75" s="38"/>
      <c r="E75" s="34">
        <v>1.1000000000000001</v>
      </c>
      <c r="F75" s="38"/>
      <c r="G75" s="34">
        <v>1.5</v>
      </c>
      <c r="H75" s="38"/>
      <c r="I75" s="34">
        <v>1.8</v>
      </c>
      <c r="J75" s="38"/>
      <c r="K75" s="34">
        <v>1.8</v>
      </c>
      <c r="L75" s="38"/>
      <c r="M75" s="34" t="s">
        <v>76</v>
      </c>
      <c r="N75" s="38"/>
      <c r="O75" s="34" t="s">
        <v>76</v>
      </c>
      <c r="P75" s="38"/>
      <c r="Q75" s="43"/>
      <c r="R75" s="35" t="s">
        <v>255</v>
      </c>
      <c r="S75" s="37">
        <v>0.5</v>
      </c>
      <c r="T75" s="37">
        <v>0.5</v>
      </c>
      <c r="U75" s="37">
        <v>1</v>
      </c>
      <c r="V75" s="37">
        <v>0</v>
      </c>
      <c r="W75" s="37">
        <v>1</v>
      </c>
      <c r="X75" s="37">
        <v>1</v>
      </c>
      <c r="Y75" s="37">
        <v>1</v>
      </c>
      <c r="Z75" s="37">
        <v>0.75</v>
      </c>
      <c r="AA75" s="47"/>
      <c r="AB75" s="43"/>
      <c r="AC75" s="43"/>
      <c r="AD75" s="43"/>
      <c r="AE75" s="43"/>
      <c r="AF75" s="43"/>
      <c r="AG75" s="43"/>
      <c r="AH75" s="43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</row>
    <row r="76" spans="1:61" ht="15.75" customHeight="1" x14ac:dyDescent="0.5">
      <c r="A76" s="46" t="s">
        <v>124</v>
      </c>
      <c r="B76" s="35" t="s">
        <v>79</v>
      </c>
      <c r="C76" s="34">
        <v>2.2000000000000002</v>
      </c>
      <c r="D76" s="38"/>
      <c r="E76" s="34">
        <v>2.2000000000000002</v>
      </c>
      <c r="F76" s="38"/>
      <c r="G76" s="34">
        <v>2.5</v>
      </c>
      <c r="H76" s="38"/>
      <c r="I76" s="34">
        <v>2.8</v>
      </c>
      <c r="J76" s="38"/>
      <c r="K76" s="34">
        <v>2.5</v>
      </c>
      <c r="L76" s="38"/>
      <c r="M76" s="34" t="s">
        <v>76</v>
      </c>
      <c r="N76" s="38"/>
      <c r="O76" s="34" t="s">
        <v>76</v>
      </c>
      <c r="P76" s="38"/>
      <c r="Q76" s="43"/>
      <c r="R76" s="35" t="s">
        <v>255</v>
      </c>
      <c r="S76" s="37">
        <v>0.5</v>
      </c>
      <c r="T76" s="37">
        <v>0.5</v>
      </c>
      <c r="U76" s="37">
        <v>1</v>
      </c>
      <c r="V76" s="37">
        <v>0</v>
      </c>
      <c r="W76" s="37">
        <v>1</v>
      </c>
      <c r="X76" s="37">
        <v>1</v>
      </c>
      <c r="Y76" s="37">
        <v>1</v>
      </c>
      <c r="Z76" s="37">
        <v>0.75</v>
      </c>
      <c r="AA76" s="47"/>
      <c r="AB76" s="43"/>
      <c r="AC76" s="43"/>
      <c r="AD76" s="43"/>
      <c r="AE76" s="43"/>
      <c r="AF76" s="43"/>
      <c r="AG76" s="43"/>
      <c r="AH76" s="43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</row>
    <row r="77" spans="1:61" ht="15.75" customHeight="1" x14ac:dyDescent="0.5">
      <c r="A77" s="46" t="s">
        <v>247</v>
      </c>
      <c r="B77" s="35" t="s">
        <v>125</v>
      </c>
      <c r="C77" s="34">
        <v>4</v>
      </c>
      <c r="D77" s="38"/>
      <c r="E77" s="34">
        <v>4</v>
      </c>
      <c r="F77" s="38"/>
      <c r="G77" s="34">
        <v>4.7</v>
      </c>
      <c r="H77" s="38"/>
      <c r="I77" s="34">
        <v>5.4</v>
      </c>
      <c r="J77" s="38"/>
      <c r="K77" s="34">
        <v>5.4</v>
      </c>
      <c r="L77" s="38"/>
      <c r="M77" s="34" t="s">
        <v>76</v>
      </c>
      <c r="N77" s="38"/>
      <c r="O77" s="34" t="s">
        <v>76</v>
      </c>
      <c r="P77" s="38"/>
      <c r="Q77" s="43"/>
      <c r="R77" s="35" t="s">
        <v>255</v>
      </c>
      <c r="S77" s="37">
        <v>0.5</v>
      </c>
      <c r="T77" s="37">
        <v>0.5</v>
      </c>
      <c r="U77" s="37">
        <v>1</v>
      </c>
      <c r="V77" s="37">
        <v>0</v>
      </c>
      <c r="W77" s="37">
        <v>1</v>
      </c>
      <c r="X77" s="37">
        <v>1</v>
      </c>
      <c r="Y77" s="37">
        <v>1</v>
      </c>
      <c r="Z77" s="37">
        <v>0.75</v>
      </c>
      <c r="AA77" s="47"/>
      <c r="AB77" s="43"/>
      <c r="AC77" s="43"/>
      <c r="AD77" s="43"/>
      <c r="AE77" s="43"/>
      <c r="AF77" s="43"/>
      <c r="AG77" s="43"/>
      <c r="AH77" s="43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</row>
    <row r="78" spans="1:61" ht="15.75" customHeight="1" x14ac:dyDescent="0.5">
      <c r="A78" s="58" t="s">
        <v>126</v>
      </c>
      <c r="B78" s="35" t="s">
        <v>127</v>
      </c>
      <c r="C78" s="34">
        <v>0.7</v>
      </c>
      <c r="D78" s="38"/>
      <c r="E78" s="34">
        <v>0.7</v>
      </c>
      <c r="F78" s="38"/>
      <c r="G78" s="34">
        <v>0.7</v>
      </c>
      <c r="H78" s="38"/>
      <c r="I78" s="34">
        <v>0.7</v>
      </c>
      <c r="J78" s="38"/>
      <c r="K78" s="34">
        <v>0.7</v>
      </c>
      <c r="L78" s="38"/>
      <c r="M78" s="34" t="s">
        <v>76</v>
      </c>
      <c r="N78" s="38"/>
      <c r="O78" s="34" t="s">
        <v>76</v>
      </c>
      <c r="P78" s="38"/>
      <c r="Q78" s="43"/>
      <c r="R78" s="35" t="s">
        <v>256</v>
      </c>
      <c r="S78" s="37">
        <v>0.25</v>
      </c>
      <c r="T78" s="37">
        <v>0.25</v>
      </c>
      <c r="U78" s="37">
        <v>0.5</v>
      </c>
      <c r="V78" s="37">
        <v>0</v>
      </c>
      <c r="W78" s="37">
        <v>0.5</v>
      </c>
      <c r="X78" s="37">
        <v>1</v>
      </c>
      <c r="Y78" s="37">
        <v>0.25</v>
      </c>
      <c r="Z78" s="37">
        <v>1</v>
      </c>
      <c r="AA78" s="43"/>
      <c r="AB78" s="43"/>
      <c r="AC78" s="43"/>
      <c r="AD78" s="43"/>
      <c r="AE78" s="43"/>
      <c r="AF78" s="43"/>
      <c r="AG78" s="43"/>
      <c r="AH78" s="43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</row>
    <row r="79" spans="1:61" ht="15.75" customHeight="1" x14ac:dyDescent="0.5">
      <c r="A79" s="46" t="s">
        <v>128</v>
      </c>
      <c r="B79" s="35" t="s">
        <v>129</v>
      </c>
      <c r="C79" s="34" t="s">
        <v>76</v>
      </c>
      <c r="D79" s="38"/>
      <c r="E79" s="34" t="s">
        <v>76</v>
      </c>
      <c r="F79" s="38"/>
      <c r="G79" s="34" t="s">
        <v>76</v>
      </c>
      <c r="H79" s="38"/>
      <c r="I79" s="34">
        <v>53.1</v>
      </c>
      <c r="J79" s="38"/>
      <c r="K79" s="34">
        <v>50</v>
      </c>
      <c r="L79" s="38"/>
      <c r="M79" s="34" t="s">
        <v>76</v>
      </c>
      <c r="N79" s="38"/>
      <c r="O79" s="34" t="s">
        <v>76</v>
      </c>
      <c r="P79" s="38"/>
      <c r="Q79" s="43"/>
      <c r="R79" s="35" t="s">
        <v>256</v>
      </c>
      <c r="S79" s="37">
        <v>0.25</v>
      </c>
      <c r="T79" s="37">
        <v>0.25</v>
      </c>
      <c r="U79" s="37">
        <v>0.5</v>
      </c>
      <c r="V79" s="37">
        <v>0</v>
      </c>
      <c r="W79" s="37">
        <v>0.5</v>
      </c>
      <c r="X79" s="37">
        <v>1</v>
      </c>
      <c r="Y79" s="37">
        <v>0.25</v>
      </c>
      <c r="Z79" s="37">
        <v>1</v>
      </c>
      <c r="AA79" s="43"/>
      <c r="AB79" s="43"/>
      <c r="AC79" s="43"/>
      <c r="AD79" s="43"/>
      <c r="AE79" s="43"/>
      <c r="AF79" s="43"/>
      <c r="AG79" s="43"/>
      <c r="AH79" s="43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51"/>
      <c r="BC79" s="1"/>
      <c r="BD79" s="1"/>
      <c r="BE79" s="1"/>
      <c r="BF79" s="1"/>
      <c r="BG79" s="1"/>
      <c r="BH79" s="1"/>
      <c r="BI79" s="1"/>
    </row>
    <row r="80" spans="1:61" ht="15.75" customHeight="1" x14ac:dyDescent="0.5">
      <c r="A80" s="46" t="s">
        <v>130</v>
      </c>
      <c r="B80" s="35" t="s">
        <v>131</v>
      </c>
      <c r="C80" s="34" t="s">
        <v>76</v>
      </c>
      <c r="D80" s="38"/>
      <c r="E80" s="34" t="s">
        <v>76</v>
      </c>
      <c r="F80" s="38"/>
      <c r="G80" s="34" t="s">
        <v>76</v>
      </c>
      <c r="H80" s="38"/>
      <c r="I80" s="34">
        <v>106</v>
      </c>
      <c r="J80" s="38"/>
      <c r="K80" s="34">
        <v>100</v>
      </c>
      <c r="L80" s="38"/>
      <c r="M80" s="34" t="s">
        <v>76</v>
      </c>
      <c r="N80" s="38"/>
      <c r="O80" s="34" t="s">
        <v>76</v>
      </c>
      <c r="P80" s="38"/>
      <c r="Q80" s="43"/>
      <c r="R80" s="35" t="s">
        <v>256</v>
      </c>
      <c r="S80" s="37">
        <v>0.25</v>
      </c>
      <c r="T80" s="37">
        <v>0.25</v>
      </c>
      <c r="U80" s="37">
        <v>0.5</v>
      </c>
      <c r="V80" s="37">
        <v>0</v>
      </c>
      <c r="W80" s="37">
        <v>0.5</v>
      </c>
      <c r="X80" s="37">
        <v>1</v>
      </c>
      <c r="Y80" s="37">
        <v>0.25</v>
      </c>
      <c r="Z80" s="37">
        <v>1</v>
      </c>
      <c r="AA80" s="43"/>
      <c r="AB80" s="43"/>
      <c r="AC80" s="43"/>
      <c r="AD80" s="43"/>
      <c r="AE80" s="43"/>
      <c r="AF80" s="43"/>
      <c r="AG80" s="43"/>
      <c r="AH80" s="43"/>
      <c r="BB80" s="51"/>
      <c r="BC80" s="1"/>
      <c r="BD80" s="1"/>
      <c r="BE80" s="1"/>
      <c r="BF80" s="1"/>
      <c r="BG80" s="1"/>
      <c r="BH80" s="1"/>
      <c r="BI80" s="1"/>
    </row>
    <row r="81" spans="1:61" ht="15.75" customHeight="1" x14ac:dyDescent="0.5">
      <c r="A81" s="58" t="s">
        <v>132</v>
      </c>
      <c r="B81" s="35" t="s">
        <v>79</v>
      </c>
      <c r="C81" s="34">
        <v>2.9</v>
      </c>
      <c r="D81" s="38"/>
      <c r="E81" s="34">
        <v>2.9</v>
      </c>
      <c r="F81" s="38"/>
      <c r="G81" s="34">
        <v>3.9</v>
      </c>
      <c r="H81" s="38"/>
      <c r="I81" s="34">
        <v>5.2</v>
      </c>
      <c r="J81" s="38"/>
      <c r="K81" s="34">
        <v>7.4</v>
      </c>
      <c r="L81" s="38"/>
      <c r="M81" s="34" t="s">
        <v>76</v>
      </c>
      <c r="N81" s="38"/>
      <c r="O81" s="34" t="s">
        <v>76</v>
      </c>
      <c r="P81" s="38"/>
      <c r="Q81" s="43"/>
      <c r="R81" s="35" t="s">
        <v>255</v>
      </c>
      <c r="S81" s="37">
        <v>0.5</v>
      </c>
      <c r="T81" s="37">
        <v>0.5</v>
      </c>
      <c r="U81" s="37">
        <v>1</v>
      </c>
      <c r="V81" s="37">
        <v>0</v>
      </c>
      <c r="W81" s="37">
        <v>1</v>
      </c>
      <c r="X81" s="37">
        <v>1</v>
      </c>
      <c r="Y81" s="37">
        <v>1</v>
      </c>
      <c r="Z81" s="37">
        <v>0.75</v>
      </c>
      <c r="AA81" s="43"/>
      <c r="AB81" s="43"/>
      <c r="AC81" s="43"/>
      <c r="AD81" s="43"/>
      <c r="AE81" s="43"/>
      <c r="AF81" s="43"/>
      <c r="AG81" s="43"/>
      <c r="AH81" s="43"/>
      <c r="BB81" s="51"/>
      <c r="BC81" s="1"/>
      <c r="BD81" s="1"/>
      <c r="BE81" s="1"/>
      <c r="BF81" s="1"/>
      <c r="BG81" s="1"/>
      <c r="BH81" s="1"/>
      <c r="BI81" s="1"/>
    </row>
    <row r="82" spans="1:61" ht="15.75" customHeight="1" x14ac:dyDescent="0.5">
      <c r="A82" s="58" t="s">
        <v>133</v>
      </c>
      <c r="B82" s="35" t="s">
        <v>79</v>
      </c>
      <c r="C82" s="34">
        <v>3.5</v>
      </c>
      <c r="D82" s="38"/>
      <c r="E82" s="34">
        <v>3.5</v>
      </c>
      <c r="F82" s="38"/>
      <c r="G82" s="34">
        <v>4.5999999999999996</v>
      </c>
      <c r="H82" s="38"/>
      <c r="I82" s="34">
        <v>5.6</v>
      </c>
      <c r="J82" s="38"/>
      <c r="K82" s="34">
        <v>7.4</v>
      </c>
      <c r="L82" s="38"/>
      <c r="M82" s="34" t="s">
        <v>76</v>
      </c>
      <c r="N82" s="38"/>
      <c r="O82" s="34" t="s">
        <v>76</v>
      </c>
      <c r="P82" s="38"/>
      <c r="Q82" s="43"/>
      <c r="R82" s="35" t="s">
        <v>255</v>
      </c>
      <c r="S82" s="37">
        <v>0.5</v>
      </c>
      <c r="T82" s="37">
        <v>0.5</v>
      </c>
      <c r="U82" s="37">
        <v>1</v>
      </c>
      <c r="V82" s="37">
        <v>0</v>
      </c>
      <c r="W82" s="37">
        <v>1</v>
      </c>
      <c r="X82" s="37">
        <v>1</v>
      </c>
      <c r="Y82" s="37">
        <v>1</v>
      </c>
      <c r="Z82" s="37">
        <v>0.75</v>
      </c>
      <c r="AA82" s="43"/>
      <c r="AB82" s="43"/>
      <c r="AC82" s="43"/>
      <c r="AD82" s="43"/>
      <c r="AE82" s="43"/>
      <c r="AF82" s="43"/>
      <c r="AG82" s="43"/>
      <c r="AH82" s="43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51"/>
      <c r="BC82" s="1"/>
      <c r="BD82" s="1"/>
      <c r="BE82" s="1"/>
      <c r="BF82" s="1"/>
      <c r="BG82" s="1"/>
      <c r="BH82" s="1"/>
      <c r="BI82" s="1"/>
    </row>
    <row r="83" spans="1:61" ht="15.75" customHeight="1" x14ac:dyDescent="0.5">
      <c r="A83" s="58" t="s">
        <v>134</v>
      </c>
      <c r="B83" s="35" t="s">
        <v>79</v>
      </c>
      <c r="C83" s="34">
        <v>3.7</v>
      </c>
      <c r="D83" s="38"/>
      <c r="E83" s="34">
        <v>3.7</v>
      </c>
      <c r="F83" s="38"/>
      <c r="G83" s="34">
        <v>5.3</v>
      </c>
      <c r="H83" s="38"/>
      <c r="I83" s="34">
        <v>5.9</v>
      </c>
      <c r="J83" s="38"/>
      <c r="K83" s="34">
        <v>7.4</v>
      </c>
      <c r="L83" s="38"/>
      <c r="M83" s="34" t="s">
        <v>76</v>
      </c>
      <c r="N83" s="38"/>
      <c r="O83" s="34" t="s">
        <v>76</v>
      </c>
      <c r="P83" s="38"/>
      <c r="Q83" s="43"/>
      <c r="R83" s="35" t="s">
        <v>255</v>
      </c>
      <c r="S83" s="37">
        <v>0.5</v>
      </c>
      <c r="T83" s="37">
        <v>0.5</v>
      </c>
      <c r="U83" s="37">
        <v>1</v>
      </c>
      <c r="V83" s="37">
        <v>0</v>
      </c>
      <c r="W83" s="37">
        <v>1</v>
      </c>
      <c r="X83" s="37">
        <v>1</v>
      </c>
      <c r="Y83" s="37">
        <v>1</v>
      </c>
      <c r="Z83" s="37">
        <v>0.75</v>
      </c>
      <c r="AA83" s="43"/>
      <c r="AB83" s="43"/>
      <c r="AC83" s="43"/>
      <c r="AD83" s="43"/>
      <c r="AE83" s="43"/>
      <c r="AF83" s="43"/>
      <c r="AG83" s="43"/>
      <c r="AH83" s="43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51"/>
      <c r="BC83" s="1"/>
      <c r="BD83" s="1"/>
      <c r="BE83" s="1"/>
      <c r="BF83" s="1"/>
      <c r="BG83" s="1"/>
      <c r="BH83" s="1"/>
      <c r="BI83" s="1"/>
    </row>
    <row r="84" spans="1:61" ht="15.75" customHeight="1" x14ac:dyDescent="0.5">
      <c r="A84" s="58" t="s">
        <v>135</v>
      </c>
      <c r="B84" s="35" t="s">
        <v>136</v>
      </c>
      <c r="C84" s="34">
        <v>0.3</v>
      </c>
      <c r="D84" s="38"/>
      <c r="E84" s="34">
        <v>0.3</v>
      </c>
      <c r="F84" s="38"/>
      <c r="G84" s="34">
        <v>0.3</v>
      </c>
      <c r="H84" s="38"/>
      <c r="I84" s="34">
        <v>0.3</v>
      </c>
      <c r="J84" s="38"/>
      <c r="K84" s="34">
        <v>0.5</v>
      </c>
      <c r="L84" s="38"/>
      <c r="M84" s="34" t="s">
        <v>76</v>
      </c>
      <c r="N84" s="38"/>
      <c r="O84" s="34" t="s">
        <v>76</v>
      </c>
      <c r="P84" s="38"/>
      <c r="Q84" s="43"/>
      <c r="R84" s="35" t="s">
        <v>256</v>
      </c>
      <c r="S84" s="37">
        <v>0.25</v>
      </c>
      <c r="T84" s="37">
        <v>0.25</v>
      </c>
      <c r="U84" s="37">
        <v>0.5</v>
      </c>
      <c r="V84" s="37">
        <v>0</v>
      </c>
      <c r="W84" s="37">
        <v>0.5</v>
      </c>
      <c r="X84" s="37">
        <v>1</v>
      </c>
      <c r="Y84" s="37">
        <v>0.25</v>
      </c>
      <c r="Z84" s="37">
        <v>1</v>
      </c>
      <c r="AA84" s="43"/>
      <c r="AB84" s="43"/>
      <c r="AC84" s="43"/>
      <c r="AD84" s="43"/>
      <c r="AE84" s="43"/>
      <c r="AF84" s="43"/>
      <c r="AG84" s="43"/>
      <c r="AH84" s="43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51"/>
      <c r="BC84" s="1"/>
      <c r="BD84" s="1"/>
      <c r="BE84" s="1"/>
      <c r="BF84" s="1"/>
      <c r="BG84" s="1"/>
      <c r="BH84" s="1"/>
      <c r="BI84" s="1"/>
    </row>
    <row r="85" spans="1:61" ht="15.75" customHeight="1" x14ac:dyDescent="0.5">
      <c r="A85" s="58" t="s">
        <v>248</v>
      </c>
      <c r="B85" s="35" t="s">
        <v>120</v>
      </c>
      <c r="C85" s="34">
        <v>6</v>
      </c>
      <c r="D85" s="38"/>
      <c r="E85" s="34">
        <v>6</v>
      </c>
      <c r="F85" s="38"/>
      <c r="G85" s="34">
        <v>8</v>
      </c>
      <c r="H85" s="38"/>
      <c r="I85" s="34">
        <v>10</v>
      </c>
      <c r="J85" s="38"/>
      <c r="K85" s="34">
        <v>11.4</v>
      </c>
      <c r="L85" s="38"/>
      <c r="M85" s="34" t="s">
        <v>76</v>
      </c>
      <c r="N85" s="38"/>
      <c r="O85" s="34" t="s">
        <v>76</v>
      </c>
      <c r="P85" s="38"/>
      <c r="Q85" s="43"/>
      <c r="R85" s="35" t="s">
        <v>256</v>
      </c>
      <c r="S85" s="37">
        <v>0.25</v>
      </c>
      <c r="T85" s="37">
        <v>0.25</v>
      </c>
      <c r="U85" s="37">
        <v>0.5</v>
      </c>
      <c r="V85" s="37">
        <v>0</v>
      </c>
      <c r="W85" s="37">
        <v>0.5</v>
      </c>
      <c r="X85" s="37">
        <v>1</v>
      </c>
      <c r="Y85" s="37">
        <v>0.25</v>
      </c>
      <c r="Z85" s="37">
        <v>1</v>
      </c>
      <c r="AA85" s="43"/>
      <c r="AB85" s="43"/>
      <c r="AC85" s="43"/>
      <c r="AD85" s="43"/>
      <c r="AE85" s="43"/>
      <c r="AF85" s="43"/>
      <c r="AG85" s="43"/>
      <c r="AH85" s="43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51"/>
      <c r="BC85" s="1"/>
      <c r="BD85" s="1"/>
      <c r="BE85" s="1"/>
      <c r="BF85" s="1"/>
      <c r="BG85" s="1"/>
      <c r="BH85" s="1"/>
      <c r="BI85" s="1"/>
    </row>
    <row r="86" spans="1:61" ht="15.75" customHeight="1" x14ac:dyDescent="0.5">
      <c r="A86" s="46" t="s">
        <v>137</v>
      </c>
      <c r="B86" s="35" t="s">
        <v>138</v>
      </c>
      <c r="C86" s="35">
        <v>1.1000000000000001</v>
      </c>
      <c r="D86" s="38"/>
      <c r="E86" s="35">
        <v>1.1000000000000001</v>
      </c>
      <c r="F86" s="38"/>
      <c r="G86" s="35">
        <v>1.2</v>
      </c>
      <c r="H86" s="38"/>
      <c r="I86" s="35">
        <v>1.3</v>
      </c>
      <c r="J86" s="38"/>
      <c r="K86" s="35">
        <v>1.4</v>
      </c>
      <c r="L86" s="38"/>
      <c r="M86" s="34" t="s">
        <v>76</v>
      </c>
      <c r="N86" s="38"/>
      <c r="O86" s="34" t="s">
        <v>76</v>
      </c>
      <c r="P86" s="38"/>
      <c r="Q86" s="43"/>
      <c r="R86" s="35" t="s">
        <v>256</v>
      </c>
      <c r="S86" s="37">
        <v>0.25</v>
      </c>
      <c r="T86" s="37">
        <v>0.25</v>
      </c>
      <c r="U86" s="37">
        <v>0.5</v>
      </c>
      <c r="V86" s="37">
        <v>0</v>
      </c>
      <c r="W86" s="37">
        <v>0.5</v>
      </c>
      <c r="X86" s="37">
        <v>1</v>
      </c>
      <c r="Y86" s="37">
        <v>0.25</v>
      </c>
      <c r="Z86" s="37">
        <v>1</v>
      </c>
      <c r="AA86" s="43"/>
      <c r="AB86" s="43"/>
      <c r="AC86" s="43"/>
      <c r="AD86" s="43"/>
      <c r="AE86" s="43"/>
      <c r="AF86" s="43"/>
      <c r="AG86" s="43"/>
      <c r="AH86" s="43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51"/>
      <c r="BC86" s="1"/>
      <c r="BD86" s="1"/>
      <c r="BE86" s="1"/>
      <c r="BF86" s="1"/>
      <c r="BG86" s="1"/>
      <c r="BH86" s="1"/>
      <c r="BI86" s="1"/>
    </row>
    <row r="87" spans="1:61" ht="15.75" customHeight="1" x14ac:dyDescent="0.5">
      <c r="A87" s="49"/>
      <c r="B87" s="43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51"/>
      <c r="BC87" s="1"/>
      <c r="BD87" s="1"/>
      <c r="BE87" s="1"/>
      <c r="BF87" s="1"/>
      <c r="BG87" s="1"/>
      <c r="BH87" s="1"/>
      <c r="BI87" s="1"/>
    </row>
    <row r="88" spans="1:61" ht="15.75" customHeight="1" x14ac:dyDescent="0.5">
      <c r="A88" s="55" t="s">
        <v>139</v>
      </c>
      <c r="B88" s="39" t="s">
        <v>6</v>
      </c>
      <c r="C88" s="161" t="s">
        <v>48</v>
      </c>
      <c r="D88" s="162"/>
      <c r="E88" s="161" t="s">
        <v>49</v>
      </c>
      <c r="F88" s="162"/>
      <c r="G88" s="161" t="s">
        <v>18</v>
      </c>
      <c r="H88" s="162"/>
      <c r="I88" s="161" t="s">
        <v>50</v>
      </c>
      <c r="J88" s="162"/>
      <c r="K88" s="161" t="s">
        <v>51</v>
      </c>
      <c r="L88" s="162"/>
      <c r="M88" s="161" t="s">
        <v>52</v>
      </c>
      <c r="N88" s="162"/>
      <c r="O88" s="161" t="s">
        <v>53</v>
      </c>
      <c r="P88" s="162"/>
      <c r="Q88" s="43"/>
      <c r="R88" s="39" t="s">
        <v>54</v>
      </c>
      <c r="S88" s="39" t="s">
        <v>10</v>
      </c>
      <c r="T88" s="39" t="s">
        <v>11</v>
      </c>
      <c r="U88" s="39" t="s">
        <v>12</v>
      </c>
      <c r="V88" s="39" t="s">
        <v>13</v>
      </c>
      <c r="W88" s="39" t="s">
        <v>14</v>
      </c>
      <c r="X88" s="39" t="s">
        <v>15</v>
      </c>
      <c r="Y88" s="39" t="s">
        <v>16</v>
      </c>
      <c r="Z88" s="39" t="s">
        <v>17</v>
      </c>
      <c r="AA88" s="43"/>
      <c r="AB88" s="43"/>
      <c r="AC88" s="43"/>
      <c r="AD88" s="43"/>
      <c r="AE88" s="43"/>
      <c r="AF88" s="43"/>
      <c r="AG88" s="43"/>
      <c r="AH88" s="43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51"/>
      <c r="BC88" s="1"/>
      <c r="BD88" s="1"/>
      <c r="BE88" s="1"/>
      <c r="BF88" s="1"/>
      <c r="BG88" s="1"/>
      <c r="BH88" s="1"/>
      <c r="BI88" s="1"/>
    </row>
    <row r="89" spans="1:61" ht="15.75" customHeight="1" x14ac:dyDescent="0.5">
      <c r="A89" s="46" t="s">
        <v>140</v>
      </c>
      <c r="B89" s="35" t="s">
        <v>141</v>
      </c>
      <c r="C89" s="35" t="s">
        <v>76</v>
      </c>
      <c r="D89" s="38"/>
      <c r="E89" s="35" t="s">
        <v>76</v>
      </c>
      <c r="F89" s="38"/>
      <c r="G89" s="35" t="s">
        <v>76</v>
      </c>
      <c r="H89" s="38"/>
      <c r="I89" s="35">
        <v>1.2</v>
      </c>
      <c r="J89" s="38"/>
      <c r="K89" s="35">
        <v>1.2</v>
      </c>
      <c r="L89" s="38"/>
      <c r="M89" s="35" t="s">
        <v>76</v>
      </c>
      <c r="N89" s="38"/>
      <c r="O89" s="35" t="s">
        <v>76</v>
      </c>
      <c r="P89" s="31"/>
      <c r="Q89" s="43"/>
      <c r="R89" s="33" t="s">
        <v>142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  <c r="Z89" s="59">
        <v>1</v>
      </c>
      <c r="AA89" s="47"/>
      <c r="AB89" s="43"/>
      <c r="AC89" s="43"/>
      <c r="AD89" s="43"/>
      <c r="AE89" s="43"/>
      <c r="AF89" s="43"/>
      <c r="AG89" s="43"/>
      <c r="AH89" s="43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51"/>
      <c r="BC89" s="1"/>
      <c r="BD89" s="1"/>
      <c r="BE89" s="1"/>
      <c r="BF89" s="1"/>
      <c r="BG89" s="1"/>
      <c r="BH89" s="1"/>
      <c r="BI89" s="1"/>
    </row>
    <row r="90" spans="1:61" ht="15.75" customHeight="1" x14ac:dyDescent="0.5">
      <c r="A90" s="46" t="s">
        <v>143</v>
      </c>
      <c r="B90" s="35" t="s">
        <v>144</v>
      </c>
      <c r="C90" s="34" t="s">
        <v>76</v>
      </c>
      <c r="D90" s="38"/>
      <c r="E90" s="34" t="s">
        <v>76</v>
      </c>
      <c r="F90" s="38"/>
      <c r="G90" s="34" t="s">
        <v>76</v>
      </c>
      <c r="H90" s="38"/>
      <c r="I90" s="34">
        <v>2.1</v>
      </c>
      <c r="J90" s="38"/>
      <c r="K90" s="34">
        <v>1.6</v>
      </c>
      <c r="L90" s="38"/>
      <c r="M90" s="35" t="s">
        <v>76</v>
      </c>
      <c r="N90" s="38"/>
      <c r="O90" s="35" t="s">
        <v>76</v>
      </c>
      <c r="P90" s="31"/>
      <c r="Q90" s="43"/>
      <c r="R90" s="33" t="s">
        <v>142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  <c r="Z90" s="59">
        <v>1</v>
      </c>
      <c r="AA90" s="47"/>
      <c r="AB90" s="43"/>
      <c r="AC90" s="43"/>
      <c r="AD90" s="43"/>
      <c r="AE90" s="43"/>
      <c r="AF90" s="43"/>
      <c r="AG90" s="43"/>
      <c r="AH90" s="43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51"/>
      <c r="BC90" s="1"/>
      <c r="BD90" s="1"/>
      <c r="BE90" s="1"/>
      <c r="BF90" s="1"/>
      <c r="BG90" s="1"/>
      <c r="BH90" s="1"/>
      <c r="BI90" s="1"/>
    </row>
    <row r="91" spans="1:61" ht="15.75" customHeight="1" x14ac:dyDescent="0.5">
      <c r="A91" s="46" t="s">
        <v>249</v>
      </c>
      <c r="B91" s="35" t="s">
        <v>145</v>
      </c>
      <c r="C91" s="34">
        <v>0.4</v>
      </c>
      <c r="D91" s="38"/>
      <c r="E91" s="34">
        <v>0.4</v>
      </c>
      <c r="F91" s="38"/>
      <c r="G91" s="34">
        <v>0.8</v>
      </c>
      <c r="H91" s="38"/>
      <c r="I91" s="34">
        <v>2.5</v>
      </c>
      <c r="J91" s="38"/>
      <c r="K91" s="34">
        <v>2.2999999999999998</v>
      </c>
      <c r="L91" s="38"/>
      <c r="M91" s="35" t="s">
        <v>76</v>
      </c>
      <c r="N91" s="38"/>
      <c r="O91" s="35" t="s">
        <v>76</v>
      </c>
      <c r="P91" s="31"/>
      <c r="Q91" s="43"/>
      <c r="R91" s="33" t="s">
        <v>142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  <c r="Z91" s="59">
        <v>1</v>
      </c>
      <c r="AA91" s="47"/>
      <c r="AB91" s="43"/>
      <c r="AC91" s="43"/>
      <c r="AD91" s="43"/>
      <c r="AE91" s="43"/>
      <c r="AF91" s="43"/>
      <c r="AG91" s="43"/>
      <c r="AH91" s="43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</row>
    <row r="92" spans="1:61" ht="15.75" customHeight="1" x14ac:dyDescent="0.5">
      <c r="A92" s="46" t="s">
        <v>250</v>
      </c>
      <c r="B92" s="35" t="s">
        <v>145</v>
      </c>
      <c r="C92" s="34">
        <v>2</v>
      </c>
      <c r="D92" s="38"/>
      <c r="E92" s="34">
        <v>2</v>
      </c>
      <c r="F92" s="38"/>
      <c r="G92" s="34">
        <v>3.3</v>
      </c>
      <c r="H92" s="38"/>
      <c r="I92" s="34">
        <v>5.2</v>
      </c>
      <c r="J92" s="38"/>
      <c r="K92" s="34">
        <v>4.9000000000000004</v>
      </c>
      <c r="L92" s="38"/>
      <c r="M92" s="35" t="s">
        <v>76</v>
      </c>
      <c r="N92" s="38"/>
      <c r="O92" s="35" t="s">
        <v>76</v>
      </c>
      <c r="P92" s="31"/>
      <c r="Q92" s="43"/>
      <c r="R92" s="33" t="s">
        <v>142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  <c r="Z92" s="59">
        <v>1</v>
      </c>
      <c r="AA92" s="47"/>
      <c r="AB92" s="43"/>
      <c r="AC92" s="43"/>
      <c r="AD92" s="43"/>
      <c r="AE92" s="43"/>
      <c r="AF92" s="43"/>
      <c r="AG92" s="43"/>
      <c r="AH92" s="43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</row>
    <row r="93" spans="1:61" ht="15.75" customHeight="1" x14ac:dyDescent="0.5">
      <c r="A93" s="46" t="s">
        <v>251</v>
      </c>
      <c r="B93" s="35" t="s">
        <v>145</v>
      </c>
      <c r="C93" s="34">
        <v>5</v>
      </c>
      <c r="D93" s="38"/>
      <c r="E93" s="34">
        <v>5</v>
      </c>
      <c r="F93" s="38"/>
      <c r="G93" s="34">
        <v>7.9</v>
      </c>
      <c r="H93" s="38"/>
      <c r="I93" s="34">
        <v>11</v>
      </c>
      <c r="J93" s="38"/>
      <c r="K93" s="34">
        <v>6.9</v>
      </c>
      <c r="L93" s="38"/>
      <c r="M93" s="35" t="s">
        <v>76</v>
      </c>
      <c r="N93" s="38"/>
      <c r="O93" s="35" t="s">
        <v>76</v>
      </c>
      <c r="P93" s="31"/>
      <c r="Q93" s="43"/>
      <c r="R93" s="33" t="s">
        <v>142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  <c r="Z93" s="59">
        <v>1</v>
      </c>
      <c r="AA93" s="47"/>
      <c r="AB93" s="43"/>
      <c r="AC93" s="43"/>
      <c r="AD93" s="43"/>
      <c r="AE93" s="43"/>
      <c r="AF93" s="43"/>
      <c r="AG93" s="43"/>
      <c r="AH93" s="43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</row>
    <row r="94" spans="1:61" ht="15.75" customHeight="1" x14ac:dyDescent="0.5">
      <c r="A94" s="46" t="s">
        <v>146</v>
      </c>
      <c r="B94" s="35" t="s">
        <v>79</v>
      </c>
      <c r="C94" s="34">
        <v>4</v>
      </c>
      <c r="D94" s="38"/>
      <c r="E94" s="34">
        <v>4</v>
      </c>
      <c r="F94" s="38"/>
      <c r="G94" s="34">
        <v>6</v>
      </c>
      <c r="H94" s="38"/>
      <c r="I94" s="34">
        <v>8</v>
      </c>
      <c r="J94" s="38"/>
      <c r="K94" s="34">
        <v>6.7</v>
      </c>
      <c r="L94" s="38"/>
      <c r="M94" s="35">
        <v>6.7</v>
      </c>
      <c r="N94" s="38"/>
      <c r="O94" s="35" t="s">
        <v>76</v>
      </c>
      <c r="P94" s="31"/>
      <c r="Q94" s="43"/>
      <c r="R94" s="33" t="s">
        <v>147</v>
      </c>
      <c r="S94" s="59">
        <v>0.3</v>
      </c>
      <c r="T94" s="59">
        <v>0.4</v>
      </c>
      <c r="U94" s="59">
        <v>0.8</v>
      </c>
      <c r="V94" s="59">
        <v>0</v>
      </c>
      <c r="W94" s="59">
        <v>0.8</v>
      </c>
      <c r="X94" s="59">
        <v>0.7</v>
      </c>
      <c r="Y94" s="59">
        <v>1</v>
      </c>
      <c r="Z94" s="59">
        <v>0.4</v>
      </c>
      <c r="AA94" s="47"/>
      <c r="AB94" s="43"/>
      <c r="AC94" s="43"/>
      <c r="AD94" s="43"/>
      <c r="AE94" s="43"/>
      <c r="AF94" s="43"/>
      <c r="AG94" s="43"/>
      <c r="AH94" s="43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</row>
    <row r="95" spans="1:61" ht="15.75" customHeight="1" x14ac:dyDescent="0.5">
      <c r="A95" s="46" t="s">
        <v>147</v>
      </c>
      <c r="B95" s="35" t="s">
        <v>79</v>
      </c>
      <c r="C95" s="34">
        <v>8</v>
      </c>
      <c r="D95" s="38"/>
      <c r="E95" s="34">
        <v>8</v>
      </c>
      <c r="F95" s="38"/>
      <c r="G95" s="34">
        <v>9</v>
      </c>
      <c r="H95" s="38"/>
      <c r="I95" s="34">
        <v>15</v>
      </c>
      <c r="J95" s="38"/>
      <c r="K95" s="34">
        <v>13.3</v>
      </c>
      <c r="L95" s="38"/>
      <c r="M95" s="35">
        <v>13.3</v>
      </c>
      <c r="N95" s="38"/>
      <c r="O95" s="35" t="s">
        <v>76</v>
      </c>
      <c r="P95" s="31"/>
      <c r="Q95" s="43"/>
      <c r="R95" s="33" t="s">
        <v>147</v>
      </c>
      <c r="S95" s="59">
        <v>0.3</v>
      </c>
      <c r="T95" s="59">
        <v>0.4</v>
      </c>
      <c r="U95" s="59">
        <v>0.8</v>
      </c>
      <c r="V95" s="59">
        <v>0</v>
      </c>
      <c r="W95" s="59">
        <v>0.8</v>
      </c>
      <c r="X95" s="59">
        <v>0.7</v>
      </c>
      <c r="Y95" s="59">
        <v>1</v>
      </c>
      <c r="Z95" s="59">
        <v>0.4</v>
      </c>
      <c r="AA95" s="47"/>
      <c r="AB95" s="43"/>
      <c r="AC95" s="43"/>
      <c r="AD95" s="43"/>
      <c r="AE95" s="43"/>
      <c r="AF95" s="43"/>
      <c r="AG95" s="43"/>
      <c r="AH95" s="43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</row>
    <row r="96" spans="1:61" ht="15.75" customHeight="1" x14ac:dyDescent="0.5">
      <c r="A96" s="46" t="s">
        <v>148</v>
      </c>
      <c r="B96" s="35" t="s">
        <v>79</v>
      </c>
      <c r="C96" s="34">
        <v>6.1</v>
      </c>
      <c r="D96" s="38"/>
      <c r="E96" s="34">
        <v>6.1</v>
      </c>
      <c r="F96" s="38"/>
      <c r="G96" s="34">
        <v>13.9</v>
      </c>
      <c r="H96" s="38"/>
      <c r="I96" s="34">
        <v>20.9</v>
      </c>
      <c r="J96" s="38"/>
      <c r="K96" s="34">
        <v>19.399999999999999</v>
      </c>
      <c r="L96" s="38"/>
      <c r="M96" s="35" t="s">
        <v>76</v>
      </c>
      <c r="N96" s="38"/>
      <c r="O96" s="35" t="s">
        <v>76</v>
      </c>
      <c r="P96" s="31"/>
      <c r="Q96" s="43"/>
      <c r="R96" s="33" t="s">
        <v>148</v>
      </c>
      <c r="S96" s="59">
        <v>0</v>
      </c>
      <c r="T96" s="59">
        <v>0.25</v>
      </c>
      <c r="U96" s="59">
        <v>0.75</v>
      </c>
      <c r="V96" s="59">
        <v>0</v>
      </c>
      <c r="W96" s="59">
        <v>0.5</v>
      </c>
      <c r="X96" s="59">
        <v>0.25</v>
      </c>
      <c r="Y96" s="59">
        <v>1</v>
      </c>
      <c r="Z96" s="59">
        <v>0.25</v>
      </c>
      <c r="AA96" s="43"/>
      <c r="AB96" s="43"/>
      <c r="AC96" s="43"/>
      <c r="AD96" s="43"/>
      <c r="AE96" s="43"/>
      <c r="AF96" s="43"/>
      <c r="AG96" s="43"/>
      <c r="AH96" s="43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</row>
    <row r="97" spans="1:61" ht="15.75" customHeight="1" x14ac:dyDescent="0.5">
      <c r="A97" s="46" t="s">
        <v>149</v>
      </c>
      <c r="B97" s="35" t="s">
        <v>79</v>
      </c>
      <c r="C97" s="34">
        <v>5</v>
      </c>
      <c r="D97" s="38"/>
      <c r="E97" s="34">
        <v>5</v>
      </c>
      <c r="F97" s="38"/>
      <c r="G97" s="34">
        <v>9.5</v>
      </c>
      <c r="H97" s="38"/>
      <c r="I97" s="34">
        <v>11</v>
      </c>
      <c r="J97" s="38"/>
      <c r="K97" s="34">
        <v>9.5</v>
      </c>
      <c r="L97" s="38"/>
      <c r="M97" s="35" t="s">
        <v>76</v>
      </c>
      <c r="N97" s="38"/>
      <c r="O97" s="35" t="s">
        <v>76</v>
      </c>
      <c r="P97" s="31"/>
      <c r="Q97" s="43"/>
      <c r="R97" s="33" t="s">
        <v>149</v>
      </c>
      <c r="S97" s="59">
        <v>1</v>
      </c>
      <c r="T97" s="59">
        <v>1</v>
      </c>
      <c r="U97" s="59">
        <v>1</v>
      </c>
      <c r="V97" s="59">
        <v>0</v>
      </c>
      <c r="W97" s="59">
        <v>1</v>
      </c>
      <c r="X97" s="59">
        <v>1</v>
      </c>
      <c r="Y97" s="59">
        <v>1</v>
      </c>
      <c r="Z97" s="59">
        <v>1</v>
      </c>
      <c r="AA97" s="56"/>
      <c r="AB97" s="43"/>
      <c r="AC97" s="43"/>
      <c r="AD97" s="43"/>
      <c r="AE97" s="43"/>
      <c r="AH97" s="43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</row>
    <row r="98" spans="1:61" ht="15.75" customHeight="1" x14ac:dyDescent="0.5">
      <c r="A98" s="46" t="s">
        <v>252</v>
      </c>
      <c r="B98" s="35" t="s">
        <v>79</v>
      </c>
      <c r="C98" s="34">
        <v>6.5</v>
      </c>
      <c r="D98" s="38"/>
      <c r="E98" s="34">
        <v>6.5</v>
      </c>
      <c r="F98" s="38"/>
      <c r="G98" s="34">
        <v>9.5</v>
      </c>
      <c r="H98" s="38"/>
      <c r="I98" s="34">
        <v>11</v>
      </c>
      <c r="J98" s="38"/>
      <c r="K98" s="34">
        <v>9.5</v>
      </c>
      <c r="L98" s="38"/>
      <c r="M98" s="35" t="s">
        <v>76</v>
      </c>
      <c r="N98" s="38"/>
      <c r="O98" s="35" t="s">
        <v>76</v>
      </c>
      <c r="P98" s="31"/>
      <c r="Q98" s="43"/>
      <c r="R98" s="33" t="s">
        <v>149</v>
      </c>
      <c r="S98" s="59">
        <v>1</v>
      </c>
      <c r="T98" s="59">
        <v>1</v>
      </c>
      <c r="U98" s="59">
        <v>1</v>
      </c>
      <c r="V98" s="59">
        <v>0</v>
      </c>
      <c r="W98" s="59">
        <v>1</v>
      </c>
      <c r="X98" s="59">
        <v>1</v>
      </c>
      <c r="Y98" s="59">
        <v>1</v>
      </c>
      <c r="Z98" s="59">
        <v>1</v>
      </c>
      <c r="AA98" s="47"/>
      <c r="AE98" s="43"/>
      <c r="AF98" s="40"/>
      <c r="AG98" s="40"/>
      <c r="AH98" s="43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</row>
    <row r="99" spans="1:61" ht="15.75" customHeight="1" x14ac:dyDescent="0.5">
      <c r="A99" s="46" t="s">
        <v>253</v>
      </c>
      <c r="B99" s="35" t="s">
        <v>79</v>
      </c>
      <c r="C99" s="34">
        <v>3</v>
      </c>
      <c r="D99" s="38"/>
      <c r="E99" s="34">
        <v>3</v>
      </c>
      <c r="F99" s="38"/>
      <c r="G99" s="34">
        <v>5</v>
      </c>
      <c r="H99" s="38"/>
      <c r="I99" s="34">
        <v>5</v>
      </c>
      <c r="J99" s="38"/>
      <c r="K99" s="34">
        <v>5</v>
      </c>
      <c r="L99" s="38"/>
      <c r="M99" s="35" t="s">
        <v>76</v>
      </c>
      <c r="N99" s="38"/>
      <c r="O99" s="35" t="s">
        <v>76</v>
      </c>
      <c r="P99" s="31"/>
      <c r="Q99" s="43"/>
      <c r="R99" s="33" t="s">
        <v>149</v>
      </c>
      <c r="S99" s="59">
        <v>1</v>
      </c>
      <c r="T99" s="59">
        <v>1</v>
      </c>
      <c r="U99" s="59">
        <v>1</v>
      </c>
      <c r="V99" s="59">
        <v>0</v>
      </c>
      <c r="W99" s="59">
        <v>1</v>
      </c>
      <c r="X99" s="59">
        <v>1</v>
      </c>
      <c r="Y99" s="59">
        <v>1</v>
      </c>
      <c r="Z99" s="59">
        <v>1</v>
      </c>
      <c r="AA99" s="47"/>
      <c r="AE99" s="43"/>
      <c r="AH99" s="43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</row>
    <row r="100" spans="1:61" ht="15.75" customHeight="1" x14ac:dyDescent="0.5">
      <c r="A100" s="49"/>
      <c r="B100" s="43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7"/>
      <c r="AE100" s="43"/>
      <c r="AH100" s="43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</row>
    <row r="101" spans="1:61" ht="15.75" customHeight="1" x14ac:dyDescent="0.5">
      <c r="A101" s="55" t="s">
        <v>150</v>
      </c>
      <c r="B101" s="39" t="s">
        <v>6</v>
      </c>
      <c r="C101" s="161" t="s">
        <v>48</v>
      </c>
      <c r="D101" s="162"/>
      <c r="E101" s="161" t="s">
        <v>49</v>
      </c>
      <c r="F101" s="162"/>
      <c r="G101" s="161" t="s">
        <v>18</v>
      </c>
      <c r="H101" s="162"/>
      <c r="I101" s="161" t="s">
        <v>50</v>
      </c>
      <c r="J101" s="162"/>
      <c r="K101" s="161" t="s">
        <v>51</v>
      </c>
      <c r="L101" s="162"/>
      <c r="M101" s="161" t="s">
        <v>52</v>
      </c>
      <c r="N101" s="162"/>
      <c r="O101" s="161" t="s">
        <v>53</v>
      </c>
      <c r="P101" s="162"/>
      <c r="Q101" s="43"/>
      <c r="R101" s="39" t="s">
        <v>54</v>
      </c>
      <c r="S101" s="39" t="s">
        <v>10</v>
      </c>
      <c r="T101" s="39" t="s">
        <v>11</v>
      </c>
      <c r="U101" s="39" t="s">
        <v>12</v>
      </c>
      <c r="V101" s="39" t="s">
        <v>13</v>
      </c>
      <c r="W101" s="39" t="s">
        <v>14</v>
      </c>
      <c r="X101" s="39" t="s">
        <v>15</v>
      </c>
      <c r="Y101" s="39" t="s">
        <v>16</v>
      </c>
      <c r="Z101" s="39" t="s">
        <v>17</v>
      </c>
      <c r="AA101" s="47"/>
      <c r="AE101" s="43"/>
      <c r="AH101" s="43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</row>
    <row r="102" spans="1:61" ht="15.75" customHeight="1" x14ac:dyDescent="0.5">
      <c r="A102" s="46" t="s">
        <v>151</v>
      </c>
      <c r="B102" s="35" t="s">
        <v>152</v>
      </c>
      <c r="C102" s="34">
        <v>2</v>
      </c>
      <c r="D102" s="38"/>
      <c r="E102" s="34">
        <v>2</v>
      </c>
      <c r="F102" s="38"/>
      <c r="G102" s="34">
        <v>2.4</v>
      </c>
      <c r="H102" s="5"/>
      <c r="I102" s="34">
        <v>3.25</v>
      </c>
      <c r="J102" s="38"/>
      <c r="K102" s="34">
        <v>3</v>
      </c>
      <c r="L102" s="38"/>
      <c r="M102" s="34" t="s">
        <v>76</v>
      </c>
      <c r="N102" s="38"/>
      <c r="O102" s="34" t="s">
        <v>76</v>
      </c>
      <c r="P102" s="38"/>
      <c r="Q102" s="43"/>
      <c r="R102" s="35" t="s">
        <v>153</v>
      </c>
      <c r="S102" s="37">
        <v>1</v>
      </c>
      <c r="T102" s="37">
        <v>0.75</v>
      </c>
      <c r="U102" s="37">
        <v>0.1</v>
      </c>
      <c r="V102" s="37">
        <v>0</v>
      </c>
      <c r="W102" s="37">
        <v>0.1</v>
      </c>
      <c r="X102" s="37">
        <v>0.1</v>
      </c>
      <c r="Y102" s="37">
        <v>0.1</v>
      </c>
      <c r="Z102" s="37">
        <v>0</v>
      </c>
      <c r="AA102" s="43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</row>
    <row r="103" spans="1:61" ht="15.75" customHeight="1" x14ac:dyDescent="0.5">
      <c r="A103" s="46" t="s">
        <v>154</v>
      </c>
      <c r="B103" s="35" t="s">
        <v>155</v>
      </c>
      <c r="C103" s="34">
        <v>2.2000000000000002</v>
      </c>
      <c r="D103" s="38"/>
      <c r="E103" s="34">
        <v>2.2000000000000002</v>
      </c>
      <c r="F103" s="38"/>
      <c r="G103" s="34">
        <v>2.7</v>
      </c>
      <c r="H103" s="5"/>
      <c r="I103" s="34">
        <v>3.3</v>
      </c>
      <c r="J103" s="38"/>
      <c r="K103" s="34">
        <v>3.2</v>
      </c>
      <c r="L103" s="38"/>
      <c r="M103" s="34" t="s">
        <v>76</v>
      </c>
      <c r="N103" s="38"/>
      <c r="O103" s="34" t="s">
        <v>76</v>
      </c>
      <c r="P103" s="38"/>
      <c r="Q103" s="43"/>
      <c r="R103" s="35" t="s">
        <v>153</v>
      </c>
      <c r="S103" s="37">
        <v>1</v>
      </c>
      <c r="T103" s="37">
        <v>0.75</v>
      </c>
      <c r="U103" s="37">
        <v>0.1</v>
      </c>
      <c r="V103" s="37">
        <v>0</v>
      </c>
      <c r="W103" s="37">
        <v>0.1</v>
      </c>
      <c r="X103" s="37">
        <v>0.1</v>
      </c>
      <c r="Y103" s="37">
        <v>0.1</v>
      </c>
      <c r="Z103" s="37">
        <v>0</v>
      </c>
      <c r="AA103" s="43"/>
      <c r="AB103" s="1"/>
      <c r="AC103" s="1"/>
      <c r="AD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</row>
    <row r="104" spans="1:61" ht="15.75" customHeight="1" x14ac:dyDescent="0.5">
      <c r="A104" s="46" t="s">
        <v>156</v>
      </c>
      <c r="B104" s="35" t="s">
        <v>152</v>
      </c>
      <c r="C104" s="34">
        <v>1.2</v>
      </c>
      <c r="D104" s="38"/>
      <c r="E104" s="34">
        <v>1.2</v>
      </c>
      <c r="F104" s="38"/>
      <c r="G104" s="34">
        <v>1.4</v>
      </c>
      <c r="H104" s="5"/>
      <c r="I104" s="34">
        <v>1.9</v>
      </c>
      <c r="J104" s="38"/>
      <c r="K104" s="34">
        <v>1.9</v>
      </c>
      <c r="L104" s="38"/>
      <c r="M104" s="34" t="s">
        <v>76</v>
      </c>
      <c r="N104" s="38"/>
      <c r="O104" s="34" t="s">
        <v>76</v>
      </c>
      <c r="P104" s="38"/>
      <c r="Q104" s="43"/>
      <c r="R104" s="35" t="s">
        <v>153</v>
      </c>
      <c r="S104" s="37">
        <v>1</v>
      </c>
      <c r="T104" s="37">
        <v>0.75</v>
      </c>
      <c r="U104" s="37">
        <v>0.1</v>
      </c>
      <c r="V104" s="37">
        <v>0</v>
      </c>
      <c r="W104" s="37">
        <v>0.1</v>
      </c>
      <c r="X104" s="37">
        <v>0.1</v>
      </c>
      <c r="Y104" s="37">
        <v>0.1</v>
      </c>
      <c r="Z104" s="37">
        <v>0</v>
      </c>
      <c r="AA104" s="43"/>
      <c r="AB104" s="48"/>
      <c r="AC104" s="40"/>
      <c r="AD104" s="40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</row>
    <row r="105" spans="1:61" ht="15.75" customHeight="1" x14ac:dyDescent="0.5">
      <c r="A105" s="46" t="s">
        <v>157</v>
      </c>
      <c r="B105" s="35" t="s">
        <v>152</v>
      </c>
      <c r="C105" s="34">
        <v>1.2</v>
      </c>
      <c r="D105" s="38"/>
      <c r="E105" s="34">
        <v>1.2</v>
      </c>
      <c r="F105" s="38"/>
      <c r="G105" s="34">
        <v>1.5</v>
      </c>
      <c r="H105" s="5"/>
      <c r="I105" s="34">
        <v>2</v>
      </c>
      <c r="J105" s="38"/>
      <c r="K105" s="34">
        <v>2</v>
      </c>
      <c r="L105" s="38"/>
      <c r="M105" s="34" t="s">
        <v>76</v>
      </c>
      <c r="N105" s="38"/>
      <c r="O105" s="34" t="s">
        <v>76</v>
      </c>
      <c r="P105" s="38"/>
      <c r="Q105" s="43"/>
      <c r="R105" s="35" t="s">
        <v>153</v>
      </c>
      <c r="S105" s="37">
        <v>1</v>
      </c>
      <c r="T105" s="37">
        <v>0.75</v>
      </c>
      <c r="U105" s="37">
        <v>0.1</v>
      </c>
      <c r="V105" s="37">
        <v>0</v>
      </c>
      <c r="W105" s="37">
        <v>0.1</v>
      </c>
      <c r="X105" s="37">
        <v>0.1</v>
      </c>
      <c r="Y105" s="37">
        <v>0.1</v>
      </c>
      <c r="Z105" s="37">
        <v>0</v>
      </c>
      <c r="AA105" s="43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</row>
    <row r="106" spans="1:61" ht="15.75" customHeight="1" x14ac:dyDescent="0.5">
      <c r="A106" s="46" t="s">
        <v>158</v>
      </c>
      <c r="B106" s="35" t="s">
        <v>152</v>
      </c>
      <c r="C106" s="34">
        <v>1.3</v>
      </c>
      <c r="D106" s="38"/>
      <c r="E106" s="34">
        <v>1.3</v>
      </c>
      <c r="F106" s="38"/>
      <c r="G106" s="34">
        <v>1.6</v>
      </c>
      <c r="H106" s="5"/>
      <c r="I106" s="34">
        <v>2</v>
      </c>
      <c r="J106" s="38"/>
      <c r="K106" s="34">
        <v>1.9</v>
      </c>
      <c r="L106" s="38"/>
      <c r="M106" s="34" t="s">
        <v>76</v>
      </c>
      <c r="N106" s="38"/>
      <c r="O106" s="34" t="s">
        <v>76</v>
      </c>
      <c r="P106" s="38"/>
      <c r="Q106" s="43"/>
      <c r="R106" s="35" t="s">
        <v>153</v>
      </c>
      <c r="S106" s="37">
        <v>1</v>
      </c>
      <c r="T106" s="37">
        <v>0.75</v>
      </c>
      <c r="U106" s="37">
        <v>0.1</v>
      </c>
      <c r="V106" s="37">
        <v>0</v>
      </c>
      <c r="W106" s="37">
        <v>0.1</v>
      </c>
      <c r="X106" s="37">
        <v>0.1</v>
      </c>
      <c r="Y106" s="37">
        <v>0.1</v>
      </c>
      <c r="Z106" s="37">
        <v>0</v>
      </c>
      <c r="AA106" s="43"/>
      <c r="AE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</row>
    <row r="107" spans="1:61" ht="15.75" customHeight="1" x14ac:dyDescent="0.5">
      <c r="A107" s="46" t="s">
        <v>159</v>
      </c>
      <c r="B107" s="35" t="s">
        <v>152</v>
      </c>
      <c r="C107" s="34">
        <v>1.5</v>
      </c>
      <c r="D107" s="38"/>
      <c r="E107" s="34">
        <v>1.5</v>
      </c>
      <c r="F107" s="38"/>
      <c r="G107" s="34">
        <v>1.9</v>
      </c>
      <c r="H107" s="5"/>
      <c r="I107" s="34">
        <v>2.5</v>
      </c>
      <c r="J107" s="38"/>
      <c r="K107" s="34">
        <v>2.5</v>
      </c>
      <c r="L107" s="38"/>
      <c r="M107" s="34">
        <v>2.5</v>
      </c>
      <c r="N107" s="38"/>
      <c r="O107" s="34" t="s">
        <v>76</v>
      </c>
      <c r="P107" s="38"/>
      <c r="Q107" s="43"/>
      <c r="R107" s="35" t="s">
        <v>153</v>
      </c>
      <c r="S107" s="37">
        <v>1</v>
      </c>
      <c r="T107" s="37">
        <v>0.75</v>
      </c>
      <c r="U107" s="37">
        <v>0.1</v>
      </c>
      <c r="V107" s="37">
        <v>0</v>
      </c>
      <c r="W107" s="37">
        <v>0.1</v>
      </c>
      <c r="X107" s="37">
        <v>0.1</v>
      </c>
      <c r="Y107" s="37">
        <v>0.1</v>
      </c>
      <c r="Z107" s="37">
        <v>0</v>
      </c>
      <c r="AA107" s="43"/>
      <c r="AE107" s="40"/>
      <c r="AH107" s="40"/>
      <c r="AI107" s="40"/>
      <c r="AJ107" s="40"/>
      <c r="AK107" s="1"/>
      <c r="AL107" s="40"/>
      <c r="AM107" s="40"/>
      <c r="AN107" s="40"/>
      <c r="AO107" s="40"/>
      <c r="AP107" s="40"/>
      <c r="AQ107" s="40"/>
      <c r="AR107" s="40"/>
      <c r="AS107" s="40"/>
      <c r="AT107" s="40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</row>
    <row r="108" spans="1:61" ht="15.75" customHeight="1" x14ac:dyDescent="0.5">
      <c r="A108" s="46" t="s">
        <v>160</v>
      </c>
      <c r="B108" s="35" t="s">
        <v>152</v>
      </c>
      <c r="C108" s="34">
        <v>1.5</v>
      </c>
      <c r="D108" s="38"/>
      <c r="E108" s="34">
        <v>1.5</v>
      </c>
      <c r="F108" s="38"/>
      <c r="G108" s="34">
        <v>1.8</v>
      </c>
      <c r="H108" s="5"/>
      <c r="I108" s="34">
        <v>2.4</v>
      </c>
      <c r="J108" s="38"/>
      <c r="K108" s="34">
        <v>2.2999999999999998</v>
      </c>
      <c r="L108" s="38"/>
      <c r="M108" s="34">
        <v>2</v>
      </c>
      <c r="N108" s="38"/>
      <c r="O108" s="34" t="s">
        <v>76</v>
      </c>
      <c r="P108" s="38"/>
      <c r="Q108" s="43"/>
      <c r="R108" s="35" t="s">
        <v>153</v>
      </c>
      <c r="S108" s="37">
        <v>1</v>
      </c>
      <c r="T108" s="37">
        <v>0.75</v>
      </c>
      <c r="U108" s="37">
        <v>0.1</v>
      </c>
      <c r="V108" s="37">
        <v>0</v>
      </c>
      <c r="W108" s="37">
        <v>0.1</v>
      </c>
      <c r="X108" s="37">
        <v>0.1</v>
      </c>
      <c r="Y108" s="37">
        <v>0.1</v>
      </c>
      <c r="Z108" s="37">
        <v>0</v>
      </c>
      <c r="AA108" s="43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</row>
    <row r="109" spans="1:61" ht="15.75" customHeight="1" x14ac:dyDescent="0.5">
      <c r="A109" s="46" t="s">
        <v>161</v>
      </c>
      <c r="B109" s="35" t="s">
        <v>79</v>
      </c>
      <c r="C109" s="34">
        <v>1.4</v>
      </c>
      <c r="D109" s="38"/>
      <c r="E109" s="34">
        <v>1.4</v>
      </c>
      <c r="F109" s="38"/>
      <c r="G109" s="34">
        <v>1.6</v>
      </c>
      <c r="H109" s="5"/>
      <c r="I109" s="34">
        <v>1.9</v>
      </c>
      <c r="J109" s="38"/>
      <c r="K109" s="34">
        <v>1.7</v>
      </c>
      <c r="L109" s="38"/>
      <c r="M109" s="34" t="s">
        <v>76</v>
      </c>
      <c r="N109" s="38"/>
      <c r="O109" s="34" t="s">
        <v>76</v>
      </c>
      <c r="P109" s="38"/>
      <c r="Q109" s="43"/>
      <c r="R109" s="35" t="s">
        <v>162</v>
      </c>
      <c r="S109" s="37">
        <v>0.6</v>
      </c>
      <c r="T109" s="37">
        <v>1</v>
      </c>
      <c r="U109" s="37">
        <v>0.6</v>
      </c>
      <c r="V109" s="37">
        <v>0.05</v>
      </c>
      <c r="W109" s="37">
        <v>0.6</v>
      </c>
      <c r="X109" s="37">
        <v>0.6</v>
      </c>
      <c r="Y109" s="37">
        <v>0.6</v>
      </c>
      <c r="Z109" s="37">
        <v>0.6</v>
      </c>
      <c r="AA109" s="43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</row>
    <row r="110" spans="1:61" ht="15.75" customHeight="1" x14ac:dyDescent="0.5">
      <c r="A110" s="46" t="s">
        <v>163</v>
      </c>
      <c r="B110" s="5"/>
      <c r="C110" s="60"/>
      <c r="D110" s="38"/>
      <c r="E110" s="60"/>
      <c r="F110" s="38"/>
      <c r="G110" s="60"/>
      <c r="H110" s="5"/>
      <c r="I110" s="60"/>
      <c r="J110" s="38"/>
      <c r="K110" s="60"/>
      <c r="L110" s="38"/>
      <c r="M110" s="60"/>
      <c r="N110" s="38"/>
      <c r="O110" s="60"/>
      <c r="P110" s="38"/>
      <c r="Q110" s="43"/>
      <c r="R110" s="35" t="s">
        <v>163</v>
      </c>
      <c r="S110" s="37">
        <v>0.75</v>
      </c>
      <c r="T110" s="37">
        <v>1</v>
      </c>
      <c r="U110" s="37">
        <v>0.4</v>
      </c>
      <c r="V110" s="37">
        <v>0.25</v>
      </c>
      <c r="W110" s="37">
        <v>0.4</v>
      </c>
      <c r="X110" s="37">
        <v>0.4</v>
      </c>
      <c r="Y110" s="37">
        <v>0.4</v>
      </c>
      <c r="Z110" s="37">
        <v>0.4</v>
      </c>
      <c r="AA110" s="43"/>
      <c r="AF110" s="1"/>
      <c r="AG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</row>
    <row r="111" spans="1:61" ht="15.75" customHeight="1" x14ac:dyDescent="0.5">
      <c r="A111" s="46" t="s">
        <v>164</v>
      </c>
      <c r="B111" s="35" t="s">
        <v>165</v>
      </c>
      <c r="C111" s="34">
        <v>35.1</v>
      </c>
      <c r="D111" s="38"/>
      <c r="E111" s="34">
        <v>35.1</v>
      </c>
      <c r="F111" s="38"/>
      <c r="G111" s="34">
        <v>35.1</v>
      </c>
      <c r="H111" s="5"/>
      <c r="I111" s="34">
        <v>35.1</v>
      </c>
      <c r="J111" s="38"/>
      <c r="K111" s="34">
        <v>33</v>
      </c>
      <c r="L111" s="38"/>
      <c r="M111" s="34" t="s">
        <v>76</v>
      </c>
      <c r="N111" s="38"/>
      <c r="O111" s="34" t="s">
        <v>76</v>
      </c>
      <c r="P111" s="38"/>
      <c r="Q111" s="43"/>
      <c r="R111" s="35" t="s">
        <v>153</v>
      </c>
      <c r="S111" s="37">
        <v>1</v>
      </c>
      <c r="T111" s="37">
        <v>0.75</v>
      </c>
      <c r="U111" s="37">
        <v>0.1</v>
      </c>
      <c r="V111" s="37">
        <v>0</v>
      </c>
      <c r="W111" s="37">
        <v>0.1</v>
      </c>
      <c r="X111" s="37">
        <v>0.1</v>
      </c>
      <c r="Y111" s="37">
        <v>0.1</v>
      </c>
      <c r="Z111" s="37">
        <v>0</v>
      </c>
      <c r="AA111" s="43"/>
      <c r="AF111" s="40"/>
      <c r="AG111" s="40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</row>
    <row r="112" spans="1:61" ht="15.75" customHeight="1" x14ac:dyDescent="0.5">
      <c r="A112" s="46" t="s">
        <v>166</v>
      </c>
      <c r="B112" s="35" t="s">
        <v>165</v>
      </c>
      <c r="C112" s="34">
        <v>36.6</v>
      </c>
      <c r="D112" s="38"/>
      <c r="E112" s="34">
        <v>36.6</v>
      </c>
      <c r="F112" s="38"/>
      <c r="G112" s="34">
        <v>36.6</v>
      </c>
      <c r="H112" s="5"/>
      <c r="I112" s="34">
        <v>36.6</v>
      </c>
      <c r="J112" s="38"/>
      <c r="K112" s="34">
        <v>35</v>
      </c>
      <c r="L112" s="38"/>
      <c r="M112" s="34" t="s">
        <v>76</v>
      </c>
      <c r="N112" s="38"/>
      <c r="O112" s="34" t="s">
        <v>76</v>
      </c>
      <c r="P112" s="38"/>
      <c r="Q112" s="43"/>
      <c r="R112" s="35" t="s">
        <v>153</v>
      </c>
      <c r="S112" s="37">
        <v>1</v>
      </c>
      <c r="T112" s="37">
        <v>0.75</v>
      </c>
      <c r="U112" s="37">
        <v>0.1</v>
      </c>
      <c r="V112" s="37">
        <v>0</v>
      </c>
      <c r="W112" s="37">
        <v>0.1</v>
      </c>
      <c r="X112" s="37">
        <v>0.1</v>
      </c>
      <c r="Y112" s="37">
        <v>0.1</v>
      </c>
      <c r="Z112" s="37">
        <v>0</v>
      </c>
      <c r="AA112" s="43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</row>
    <row r="113" spans="1:61" ht="15.75" customHeight="1" x14ac:dyDescent="0.5">
      <c r="A113" s="46" t="s">
        <v>167</v>
      </c>
      <c r="B113" s="35" t="s">
        <v>168</v>
      </c>
      <c r="C113" s="34">
        <v>1.6</v>
      </c>
      <c r="D113" s="38"/>
      <c r="E113" s="34">
        <v>1.6</v>
      </c>
      <c r="F113" s="38"/>
      <c r="G113" s="34">
        <v>2.1</v>
      </c>
      <c r="H113" s="5"/>
      <c r="I113" s="34">
        <v>3.2</v>
      </c>
      <c r="J113" s="38"/>
      <c r="K113" s="34">
        <v>3.4</v>
      </c>
      <c r="L113" s="38"/>
      <c r="M113" s="34" t="s">
        <v>76</v>
      </c>
      <c r="N113" s="38"/>
      <c r="O113" s="34" t="s">
        <v>76</v>
      </c>
      <c r="P113" s="38"/>
      <c r="Q113" s="43"/>
      <c r="R113" s="35" t="s">
        <v>153</v>
      </c>
      <c r="S113" s="37">
        <v>1</v>
      </c>
      <c r="T113" s="37">
        <v>0.75</v>
      </c>
      <c r="U113" s="37">
        <v>0.1</v>
      </c>
      <c r="V113" s="37">
        <v>0</v>
      </c>
      <c r="W113" s="37">
        <v>0.1</v>
      </c>
      <c r="X113" s="37">
        <v>0.1</v>
      </c>
      <c r="Y113" s="37">
        <v>0.1</v>
      </c>
      <c r="Z113" s="37">
        <v>0</v>
      </c>
      <c r="AA113" s="43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</row>
    <row r="114" spans="1:61" ht="15.75" customHeight="1" x14ac:dyDescent="0.5">
      <c r="A114" s="46" t="s">
        <v>169</v>
      </c>
      <c r="B114" s="35" t="s">
        <v>170</v>
      </c>
      <c r="C114" s="34">
        <v>0.2</v>
      </c>
      <c r="D114" s="38"/>
      <c r="E114" s="34">
        <v>0.2</v>
      </c>
      <c r="F114" s="38"/>
      <c r="G114" s="34">
        <v>0.2</v>
      </c>
      <c r="H114" s="5"/>
      <c r="I114" s="34">
        <v>0.2</v>
      </c>
      <c r="J114" s="38"/>
      <c r="K114" s="34">
        <v>0.2</v>
      </c>
      <c r="L114" s="38"/>
      <c r="M114" s="34">
        <v>0.2</v>
      </c>
      <c r="N114" s="38"/>
      <c r="O114" s="34" t="s">
        <v>76</v>
      </c>
      <c r="P114" s="38"/>
      <c r="Q114" s="43"/>
      <c r="R114" s="35" t="s">
        <v>171</v>
      </c>
      <c r="S114" s="37">
        <v>0</v>
      </c>
      <c r="T114" s="37">
        <v>0</v>
      </c>
      <c r="U114" s="37">
        <v>0.25</v>
      </c>
      <c r="V114" s="37">
        <v>0</v>
      </c>
      <c r="W114" s="37">
        <v>0.25</v>
      </c>
      <c r="X114" s="37">
        <v>1</v>
      </c>
      <c r="Y114" s="37">
        <v>1</v>
      </c>
      <c r="Z114" s="37">
        <v>1</v>
      </c>
      <c r="AA114" s="43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</row>
    <row r="115" spans="1:61" ht="15.75" customHeight="1" x14ac:dyDescent="0.5">
      <c r="A115" s="46" t="s">
        <v>172</v>
      </c>
      <c r="B115" s="35" t="s">
        <v>74</v>
      </c>
      <c r="C115" s="34">
        <v>0.6</v>
      </c>
      <c r="D115" s="38"/>
      <c r="E115" s="34">
        <v>0.6</v>
      </c>
      <c r="F115" s="38"/>
      <c r="G115" s="34">
        <v>0.7</v>
      </c>
      <c r="H115" s="5"/>
      <c r="I115" s="34">
        <v>0.7</v>
      </c>
      <c r="J115" s="38"/>
      <c r="K115" s="34">
        <v>0.7</v>
      </c>
      <c r="L115" s="38"/>
      <c r="M115" s="34" t="s">
        <v>76</v>
      </c>
      <c r="N115" s="38"/>
      <c r="O115" s="34" t="s">
        <v>76</v>
      </c>
      <c r="P115" s="38"/>
      <c r="Q115" s="43"/>
      <c r="R115" s="35" t="s">
        <v>153</v>
      </c>
      <c r="S115" s="37">
        <v>1</v>
      </c>
      <c r="T115" s="37">
        <v>0.75</v>
      </c>
      <c r="U115" s="37">
        <v>0.1</v>
      </c>
      <c r="V115" s="37">
        <v>0</v>
      </c>
      <c r="W115" s="37">
        <v>0.1</v>
      </c>
      <c r="X115" s="37">
        <v>0.1</v>
      </c>
      <c r="Y115" s="37">
        <v>0.1</v>
      </c>
      <c r="Z115" s="37">
        <v>0</v>
      </c>
      <c r="AA115" s="43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</row>
    <row r="116" spans="1:61" ht="15.75" customHeight="1" x14ac:dyDescent="0.5">
      <c r="A116" s="49"/>
      <c r="B116" s="43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</row>
    <row r="117" spans="1:61" ht="15.75" customHeight="1" x14ac:dyDescent="0.5">
      <c r="A117" s="55" t="s">
        <v>36</v>
      </c>
      <c r="B117" s="39" t="s">
        <v>6</v>
      </c>
      <c r="C117" s="161" t="s">
        <v>48</v>
      </c>
      <c r="D117" s="162"/>
      <c r="E117" s="161" t="s">
        <v>49</v>
      </c>
      <c r="F117" s="162"/>
      <c r="G117" s="161" t="s">
        <v>18</v>
      </c>
      <c r="H117" s="162"/>
      <c r="I117" s="161" t="s">
        <v>50</v>
      </c>
      <c r="J117" s="162"/>
      <c r="K117" s="161" t="s">
        <v>51</v>
      </c>
      <c r="L117" s="162"/>
      <c r="M117" s="161" t="s">
        <v>52</v>
      </c>
      <c r="N117" s="162"/>
      <c r="O117" s="161" t="s">
        <v>53</v>
      </c>
      <c r="P117" s="162"/>
      <c r="Q117" s="43"/>
      <c r="R117" s="39" t="s">
        <v>54</v>
      </c>
      <c r="S117" s="39" t="s">
        <v>10</v>
      </c>
      <c r="T117" s="39" t="s">
        <v>11</v>
      </c>
      <c r="U117" s="39" t="s">
        <v>12</v>
      </c>
      <c r="V117" s="39" t="s">
        <v>13</v>
      </c>
      <c r="W117" s="39" t="s">
        <v>14</v>
      </c>
      <c r="X117" s="39" t="s">
        <v>15</v>
      </c>
      <c r="Y117" s="39" t="s">
        <v>16</v>
      </c>
      <c r="Z117" s="39" t="s">
        <v>17</v>
      </c>
      <c r="AA117" s="43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</row>
    <row r="118" spans="1:61" ht="15.75" customHeight="1" x14ac:dyDescent="0.5">
      <c r="A118" s="35" t="s">
        <v>37</v>
      </c>
      <c r="B118" s="30" t="s">
        <v>20</v>
      </c>
      <c r="C118" s="31" t="s">
        <v>173</v>
      </c>
      <c r="D118" s="32"/>
      <c r="E118" s="31" t="s">
        <v>173</v>
      </c>
      <c r="F118" s="31"/>
      <c r="G118" s="31" t="s">
        <v>173</v>
      </c>
      <c r="H118" s="31"/>
      <c r="I118" s="31" t="s">
        <v>173</v>
      </c>
      <c r="J118" s="31"/>
      <c r="K118" s="31" t="s">
        <v>173</v>
      </c>
      <c r="L118" s="31"/>
      <c r="M118" s="31" t="s">
        <v>173</v>
      </c>
      <c r="N118" s="31"/>
      <c r="O118" s="31" t="s">
        <v>76</v>
      </c>
      <c r="P118" s="31"/>
      <c r="Q118" s="43"/>
      <c r="R118" s="33" t="s">
        <v>174</v>
      </c>
      <c r="S118" s="59">
        <v>1</v>
      </c>
      <c r="T118" s="59">
        <v>0.75</v>
      </c>
      <c r="U118" s="59">
        <v>0</v>
      </c>
      <c r="V118" s="59">
        <v>0</v>
      </c>
      <c r="W118" s="59">
        <v>0</v>
      </c>
      <c r="X118" s="59">
        <v>0</v>
      </c>
      <c r="Y118" s="59">
        <v>0</v>
      </c>
      <c r="Z118" s="59">
        <v>0</v>
      </c>
      <c r="AA118" s="43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</row>
    <row r="119" spans="1:61" ht="15.75" customHeight="1" x14ac:dyDescent="0.5">
      <c r="A119" s="35" t="s">
        <v>175</v>
      </c>
      <c r="B119" s="30" t="s">
        <v>20</v>
      </c>
      <c r="C119" s="31" t="s">
        <v>173</v>
      </c>
      <c r="D119" s="32"/>
      <c r="E119" s="31" t="s">
        <v>173</v>
      </c>
      <c r="F119" s="31"/>
      <c r="G119" s="31" t="s">
        <v>173</v>
      </c>
      <c r="H119" s="31"/>
      <c r="I119" s="31" t="s">
        <v>173</v>
      </c>
      <c r="J119" s="31"/>
      <c r="K119" s="31" t="s">
        <v>173</v>
      </c>
      <c r="L119" s="31"/>
      <c r="M119" s="31" t="s">
        <v>173</v>
      </c>
      <c r="N119" s="31"/>
      <c r="O119" s="31" t="s">
        <v>76</v>
      </c>
      <c r="P119" s="31"/>
      <c r="Q119" s="43"/>
      <c r="R119" s="33" t="s">
        <v>174</v>
      </c>
      <c r="S119" s="59">
        <v>1</v>
      </c>
      <c r="T119" s="59">
        <v>0.75</v>
      </c>
      <c r="U119" s="59">
        <v>0</v>
      </c>
      <c r="V119" s="59">
        <v>0</v>
      </c>
      <c r="W119" s="59">
        <v>0</v>
      </c>
      <c r="X119" s="59">
        <v>0</v>
      </c>
      <c r="Y119" s="59">
        <v>0</v>
      </c>
      <c r="Z119" s="59">
        <v>0</v>
      </c>
      <c r="AA119" s="43"/>
      <c r="AB119" s="1"/>
      <c r="AC119" s="1"/>
      <c r="AD119" s="1"/>
      <c r="AF119" s="40"/>
      <c r="AG119" s="40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</row>
    <row r="120" spans="1:61" ht="15.75" customHeight="1" x14ac:dyDescent="0.5">
      <c r="A120" s="35" t="s">
        <v>39</v>
      </c>
      <c r="B120" s="30" t="s">
        <v>20</v>
      </c>
      <c r="C120" s="31" t="s">
        <v>173</v>
      </c>
      <c r="D120" s="32"/>
      <c r="E120" s="31" t="s">
        <v>173</v>
      </c>
      <c r="F120" s="31"/>
      <c r="G120" s="31" t="s">
        <v>173</v>
      </c>
      <c r="H120" s="31"/>
      <c r="I120" s="31" t="s">
        <v>173</v>
      </c>
      <c r="J120" s="31"/>
      <c r="K120" s="31" t="s">
        <v>173</v>
      </c>
      <c r="L120" s="31"/>
      <c r="M120" s="31" t="s">
        <v>173</v>
      </c>
      <c r="N120" s="31"/>
      <c r="O120" s="31" t="s">
        <v>76</v>
      </c>
      <c r="P120" s="31"/>
      <c r="Q120" s="43"/>
      <c r="R120" s="33" t="s">
        <v>174</v>
      </c>
      <c r="S120" s="59">
        <v>1</v>
      </c>
      <c r="T120" s="59">
        <v>0.75</v>
      </c>
      <c r="U120" s="59">
        <v>0.5</v>
      </c>
      <c r="V120" s="59">
        <v>0</v>
      </c>
      <c r="W120" s="59">
        <v>0</v>
      </c>
      <c r="X120" s="59">
        <v>0</v>
      </c>
      <c r="Y120" s="59">
        <v>0</v>
      </c>
      <c r="Z120" s="59">
        <v>0</v>
      </c>
      <c r="AA120" s="43"/>
      <c r="AB120" s="48"/>
      <c r="AC120" s="40"/>
      <c r="AD120" s="40"/>
      <c r="AF120" s="49"/>
      <c r="AG120" s="49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</row>
    <row r="121" spans="1:61" ht="15.75" customHeight="1" x14ac:dyDescent="0.5">
      <c r="A121" s="35" t="s">
        <v>176</v>
      </c>
      <c r="B121" s="30" t="s">
        <v>20</v>
      </c>
      <c r="C121" s="31" t="s">
        <v>173</v>
      </c>
      <c r="D121" s="32"/>
      <c r="E121" s="31" t="s">
        <v>173</v>
      </c>
      <c r="F121" s="31"/>
      <c r="G121" s="31" t="s">
        <v>173</v>
      </c>
      <c r="H121" s="31"/>
      <c r="I121" s="31" t="s">
        <v>173</v>
      </c>
      <c r="J121" s="31"/>
      <c r="K121" s="31" t="s">
        <v>173</v>
      </c>
      <c r="L121" s="31"/>
      <c r="M121" s="31" t="s">
        <v>173</v>
      </c>
      <c r="N121" s="31"/>
      <c r="O121" s="31" t="s">
        <v>76</v>
      </c>
      <c r="P121" s="31"/>
      <c r="Q121" s="43"/>
      <c r="R121" s="33" t="s">
        <v>174</v>
      </c>
      <c r="S121" s="59">
        <v>0.5</v>
      </c>
      <c r="T121" s="59">
        <v>0.75</v>
      </c>
      <c r="U121" s="59">
        <v>0.5</v>
      </c>
      <c r="V121" s="59">
        <v>0</v>
      </c>
      <c r="W121" s="59">
        <v>0</v>
      </c>
      <c r="X121" s="59">
        <v>0</v>
      </c>
      <c r="Y121" s="59">
        <v>0</v>
      </c>
      <c r="Z121" s="59">
        <v>0</v>
      </c>
      <c r="AA121" s="43"/>
      <c r="AB121" s="49"/>
      <c r="AC121" s="49"/>
      <c r="AD121" s="49"/>
      <c r="AF121" s="49"/>
      <c r="AG121" s="49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</row>
    <row r="122" spans="1:61" ht="15.75" customHeight="1" x14ac:dyDescent="0.5">
      <c r="A122" s="35" t="s">
        <v>38</v>
      </c>
      <c r="B122" s="30" t="s">
        <v>20</v>
      </c>
      <c r="C122" s="31" t="s">
        <v>173</v>
      </c>
      <c r="D122" s="32"/>
      <c r="E122" s="31" t="s">
        <v>173</v>
      </c>
      <c r="F122" s="31"/>
      <c r="G122" s="31" t="s">
        <v>173</v>
      </c>
      <c r="H122" s="31"/>
      <c r="I122" s="31" t="s">
        <v>173</v>
      </c>
      <c r="J122" s="31"/>
      <c r="K122" s="31" t="s">
        <v>173</v>
      </c>
      <c r="L122" s="31"/>
      <c r="M122" s="31" t="s">
        <v>173</v>
      </c>
      <c r="N122" s="31"/>
      <c r="O122" s="31" t="s">
        <v>76</v>
      </c>
      <c r="P122" s="31"/>
      <c r="Q122" s="43"/>
      <c r="R122" s="33" t="s">
        <v>174</v>
      </c>
      <c r="S122" s="59">
        <v>1</v>
      </c>
      <c r="T122" s="59">
        <v>1</v>
      </c>
      <c r="U122" s="59">
        <v>0.5</v>
      </c>
      <c r="V122" s="59">
        <v>0</v>
      </c>
      <c r="W122" s="59">
        <v>0</v>
      </c>
      <c r="X122" s="59">
        <v>0</v>
      </c>
      <c r="Y122" s="59">
        <v>0</v>
      </c>
      <c r="Z122" s="59">
        <v>0</v>
      </c>
      <c r="AA122" s="43"/>
      <c r="AB122" s="49"/>
      <c r="AC122" s="49"/>
      <c r="AD122" s="49"/>
      <c r="AE122" s="1"/>
      <c r="AF122" s="50"/>
      <c r="AG122" s="50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</row>
    <row r="123" spans="1:61" ht="15.75" customHeight="1" x14ac:dyDescent="0.5">
      <c r="A123" s="35" t="s">
        <v>177</v>
      </c>
      <c r="B123" s="30" t="s">
        <v>20</v>
      </c>
      <c r="C123" s="31" t="s">
        <v>173</v>
      </c>
      <c r="D123" s="32"/>
      <c r="E123" s="31" t="s">
        <v>173</v>
      </c>
      <c r="F123" s="31"/>
      <c r="G123" s="31" t="s">
        <v>173</v>
      </c>
      <c r="H123" s="31"/>
      <c r="I123" s="31" t="s">
        <v>173</v>
      </c>
      <c r="J123" s="31"/>
      <c r="K123" s="31" t="s">
        <v>173</v>
      </c>
      <c r="L123" s="31"/>
      <c r="M123" s="31" t="s">
        <v>173</v>
      </c>
      <c r="N123" s="31"/>
      <c r="O123" s="31" t="s">
        <v>76</v>
      </c>
      <c r="P123" s="31"/>
      <c r="Q123" s="43"/>
      <c r="R123" s="33" t="s">
        <v>174</v>
      </c>
      <c r="S123" s="59">
        <v>1</v>
      </c>
      <c r="T123" s="59">
        <v>1</v>
      </c>
      <c r="U123" s="59">
        <v>0.5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43"/>
      <c r="AB123" s="49"/>
      <c r="AC123" s="49"/>
      <c r="AD123" s="50"/>
      <c r="AE123" s="40"/>
      <c r="AF123" s="50"/>
      <c r="AG123" s="50"/>
      <c r="AH123" s="40"/>
      <c r="AI123" s="40"/>
      <c r="AJ123" s="40"/>
      <c r="AK123" s="1"/>
      <c r="AL123" s="40"/>
      <c r="AM123" s="40"/>
      <c r="AN123" s="40"/>
      <c r="AO123" s="40"/>
      <c r="AP123" s="40"/>
      <c r="AQ123" s="40"/>
      <c r="AR123" s="40"/>
      <c r="AS123" s="40"/>
      <c r="AT123" s="40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</row>
    <row r="124" spans="1:61" ht="15.75" customHeight="1" x14ac:dyDescent="0.5">
      <c r="A124" s="35" t="s">
        <v>40</v>
      </c>
      <c r="B124" s="30" t="s">
        <v>20</v>
      </c>
      <c r="C124" s="31" t="s">
        <v>173</v>
      </c>
      <c r="D124" s="32"/>
      <c r="E124" s="31" t="s">
        <v>173</v>
      </c>
      <c r="F124" s="31"/>
      <c r="G124" s="31" t="s">
        <v>173</v>
      </c>
      <c r="H124" s="31"/>
      <c r="I124" s="31" t="s">
        <v>173</v>
      </c>
      <c r="J124" s="31"/>
      <c r="K124" s="31" t="s">
        <v>173</v>
      </c>
      <c r="L124" s="31"/>
      <c r="M124" s="31" t="s">
        <v>173</v>
      </c>
      <c r="N124" s="31"/>
      <c r="O124" s="31" t="s">
        <v>76</v>
      </c>
      <c r="P124" s="31"/>
      <c r="Q124" s="43"/>
      <c r="R124" s="33" t="s">
        <v>174</v>
      </c>
      <c r="S124" s="59">
        <v>1</v>
      </c>
      <c r="T124" s="59">
        <v>1</v>
      </c>
      <c r="U124" s="59">
        <v>0.5</v>
      </c>
      <c r="V124" s="59">
        <v>0</v>
      </c>
      <c r="W124" s="59">
        <v>0</v>
      </c>
      <c r="X124" s="59">
        <v>0</v>
      </c>
      <c r="Y124" s="59">
        <v>0</v>
      </c>
      <c r="Z124" s="59">
        <v>0</v>
      </c>
      <c r="AA124" s="43"/>
      <c r="AB124" s="49"/>
      <c r="AC124" s="49"/>
      <c r="AD124" s="50"/>
      <c r="AE124" s="49"/>
      <c r="AF124" s="50"/>
      <c r="AG124" s="50"/>
      <c r="AH124" s="49"/>
      <c r="AI124" s="49"/>
      <c r="AJ124" s="49"/>
      <c r="AK124" s="1"/>
      <c r="AL124" s="49"/>
      <c r="AM124" s="41"/>
      <c r="AN124" s="41"/>
      <c r="AO124" s="41"/>
      <c r="AP124" s="41"/>
      <c r="AQ124" s="41"/>
      <c r="AR124" s="41"/>
      <c r="AS124" s="41"/>
      <c r="AT124" s="4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</row>
    <row r="125" spans="1:61" ht="15.75" customHeight="1" x14ac:dyDescent="0.5">
      <c r="A125" s="35" t="s">
        <v>178</v>
      </c>
      <c r="B125" s="30" t="s">
        <v>20</v>
      </c>
      <c r="C125" s="31" t="s">
        <v>173</v>
      </c>
      <c r="D125" s="32"/>
      <c r="E125" s="31" t="s">
        <v>173</v>
      </c>
      <c r="F125" s="31"/>
      <c r="G125" s="31" t="s">
        <v>173</v>
      </c>
      <c r="H125" s="31"/>
      <c r="I125" s="31" t="s">
        <v>173</v>
      </c>
      <c r="J125" s="31"/>
      <c r="K125" s="31" t="s">
        <v>173</v>
      </c>
      <c r="L125" s="31"/>
      <c r="M125" s="31" t="s">
        <v>173</v>
      </c>
      <c r="N125" s="31"/>
      <c r="O125" s="31" t="s">
        <v>76</v>
      </c>
      <c r="P125" s="31"/>
      <c r="Q125" s="43"/>
      <c r="R125" s="33" t="s">
        <v>174</v>
      </c>
      <c r="S125" s="59">
        <v>0.5</v>
      </c>
      <c r="T125" s="59">
        <v>1</v>
      </c>
      <c r="U125" s="59">
        <v>0.5</v>
      </c>
      <c r="V125" s="59">
        <v>0</v>
      </c>
      <c r="W125" s="59">
        <v>0</v>
      </c>
      <c r="X125" s="59">
        <v>0</v>
      </c>
      <c r="Y125" s="59">
        <v>0</v>
      </c>
      <c r="Z125" s="59">
        <v>0</v>
      </c>
      <c r="AA125" s="43"/>
      <c r="AB125" s="49"/>
      <c r="AC125" s="49"/>
      <c r="AD125" s="50"/>
      <c r="AE125" s="49"/>
      <c r="AF125" s="50"/>
      <c r="AG125" s="50"/>
      <c r="AH125" s="49"/>
      <c r="AI125" s="49"/>
      <c r="AJ125" s="49"/>
      <c r="AK125" s="1"/>
      <c r="AL125" s="49"/>
      <c r="AM125" s="41"/>
      <c r="AN125" s="41"/>
      <c r="AO125" s="41"/>
      <c r="AP125" s="41"/>
      <c r="AQ125" s="41"/>
      <c r="AR125" s="41"/>
      <c r="AS125" s="41"/>
      <c r="AT125" s="4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</row>
    <row r="126" spans="1:61" ht="15.75" customHeight="1" x14ac:dyDescent="0.5">
      <c r="A126" s="35" t="s">
        <v>179</v>
      </c>
      <c r="B126" s="33" t="s">
        <v>180</v>
      </c>
      <c r="C126" s="34">
        <v>4.3</v>
      </c>
      <c r="D126" s="38"/>
      <c r="E126" s="34">
        <v>4.3</v>
      </c>
      <c r="F126" s="38"/>
      <c r="G126" s="34">
        <v>5.5</v>
      </c>
      <c r="H126" s="38"/>
      <c r="I126" s="34">
        <v>5.9</v>
      </c>
      <c r="J126" s="38"/>
      <c r="K126" s="34">
        <v>5</v>
      </c>
      <c r="L126" s="38"/>
      <c r="M126" s="35" t="s">
        <v>76</v>
      </c>
      <c r="N126" s="38"/>
      <c r="O126" s="35" t="s">
        <v>76</v>
      </c>
      <c r="P126" s="36"/>
      <c r="Q126" s="43"/>
      <c r="R126" s="33" t="s">
        <v>174</v>
      </c>
      <c r="S126" s="37">
        <v>1</v>
      </c>
      <c r="T126" s="37">
        <v>1</v>
      </c>
      <c r="U126" s="37">
        <v>0</v>
      </c>
      <c r="V126" s="37">
        <v>0</v>
      </c>
      <c r="W126" s="37">
        <v>0</v>
      </c>
      <c r="X126" s="37">
        <v>0</v>
      </c>
      <c r="Y126" s="37">
        <v>0</v>
      </c>
      <c r="Z126" s="37">
        <v>0</v>
      </c>
      <c r="AA126" s="43"/>
      <c r="AB126" s="49"/>
      <c r="AC126" s="49"/>
      <c r="AD126" s="50"/>
      <c r="AE126" s="50"/>
      <c r="AF126" s="50"/>
      <c r="AG126" s="50"/>
      <c r="AH126" s="50"/>
      <c r="AI126" s="49"/>
      <c r="AJ126" s="49"/>
      <c r="AK126" s="1"/>
      <c r="AL126" s="49"/>
      <c r="AM126" s="41"/>
      <c r="AN126" s="41"/>
      <c r="AO126" s="41"/>
      <c r="AP126" s="41"/>
      <c r="AQ126" s="41"/>
      <c r="AR126" s="41"/>
      <c r="AS126" s="41"/>
      <c r="AT126" s="4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</row>
    <row r="127" spans="1:61" ht="15.75" customHeight="1" x14ac:dyDescent="0.5">
      <c r="A127" s="35" t="s">
        <v>181</v>
      </c>
      <c r="B127" s="33" t="s">
        <v>180</v>
      </c>
      <c r="C127" s="34">
        <v>5.2</v>
      </c>
      <c r="D127" s="38"/>
      <c r="E127" s="34">
        <v>5.2</v>
      </c>
      <c r="F127" s="38"/>
      <c r="G127" s="34">
        <v>6.4</v>
      </c>
      <c r="H127" s="38"/>
      <c r="I127" s="34">
        <v>6.9</v>
      </c>
      <c r="J127" s="38"/>
      <c r="K127" s="34">
        <v>5.9</v>
      </c>
      <c r="L127" s="38"/>
      <c r="M127" s="35" t="s">
        <v>76</v>
      </c>
      <c r="N127" s="38"/>
      <c r="O127" s="35" t="s">
        <v>76</v>
      </c>
      <c r="P127" s="36"/>
      <c r="Q127" s="43"/>
      <c r="R127" s="33" t="s">
        <v>174</v>
      </c>
      <c r="S127" s="37">
        <v>1</v>
      </c>
      <c r="T127" s="37">
        <v>1</v>
      </c>
      <c r="U127" s="37">
        <v>0</v>
      </c>
      <c r="V127" s="37">
        <v>0</v>
      </c>
      <c r="W127" s="37">
        <v>0</v>
      </c>
      <c r="X127" s="37">
        <v>0</v>
      </c>
      <c r="Y127" s="37">
        <v>0</v>
      </c>
      <c r="Z127" s="37">
        <v>0</v>
      </c>
      <c r="AA127" s="43"/>
      <c r="AB127" s="43"/>
      <c r="AC127" s="43"/>
      <c r="AD127" s="43"/>
      <c r="AE127" s="50"/>
      <c r="AF127" s="43"/>
      <c r="AG127" s="43"/>
      <c r="AH127" s="50"/>
      <c r="AI127" s="49"/>
      <c r="AJ127" s="49"/>
      <c r="AK127" s="1"/>
      <c r="AL127" s="49"/>
      <c r="AM127" s="41"/>
      <c r="AN127" s="41"/>
      <c r="AO127" s="41"/>
      <c r="AP127" s="41"/>
      <c r="AQ127" s="41"/>
      <c r="AR127" s="41"/>
      <c r="AS127" s="41"/>
      <c r="AT127" s="4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</row>
    <row r="128" spans="1:61" ht="15.75" customHeight="1" x14ac:dyDescent="0.5">
      <c r="A128" s="35" t="s">
        <v>182</v>
      </c>
      <c r="B128" s="33" t="s">
        <v>183</v>
      </c>
      <c r="C128" s="34">
        <v>10.3</v>
      </c>
      <c r="D128" s="38"/>
      <c r="E128" s="34">
        <v>10.3</v>
      </c>
      <c r="F128" s="38"/>
      <c r="G128" s="34">
        <v>12</v>
      </c>
      <c r="H128" s="38"/>
      <c r="I128" s="34">
        <v>12.9</v>
      </c>
      <c r="J128" s="38"/>
      <c r="K128" s="34">
        <v>10.9</v>
      </c>
      <c r="L128" s="38"/>
      <c r="M128" s="35" t="s">
        <v>76</v>
      </c>
      <c r="N128" s="38"/>
      <c r="O128" s="35" t="s">
        <v>76</v>
      </c>
      <c r="P128" s="36"/>
      <c r="Q128" s="43"/>
      <c r="R128" s="33" t="s">
        <v>174</v>
      </c>
      <c r="S128" s="37">
        <v>1</v>
      </c>
      <c r="T128" s="37">
        <v>1</v>
      </c>
      <c r="U128" s="37">
        <v>0</v>
      </c>
      <c r="V128" s="37">
        <v>0</v>
      </c>
      <c r="W128" s="37">
        <v>0</v>
      </c>
      <c r="X128" s="37">
        <v>0</v>
      </c>
      <c r="Y128" s="37">
        <v>0</v>
      </c>
      <c r="Z128" s="37">
        <v>0</v>
      </c>
      <c r="AA128" s="43"/>
      <c r="AB128" s="43"/>
      <c r="AC128" s="43"/>
      <c r="AD128" s="43"/>
      <c r="AE128" s="50"/>
      <c r="AF128" s="43"/>
      <c r="AG128" s="43"/>
      <c r="AH128" s="50"/>
      <c r="AI128" s="49"/>
      <c r="AJ128" s="49"/>
      <c r="AK128" s="1"/>
      <c r="AL128" s="49"/>
      <c r="AM128" s="41"/>
      <c r="AN128" s="41"/>
      <c r="AO128" s="41"/>
      <c r="AP128" s="41"/>
      <c r="AQ128" s="41"/>
      <c r="AR128" s="41"/>
      <c r="AS128" s="41"/>
      <c r="AT128" s="4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</row>
    <row r="129" spans="1:61" ht="15.75" customHeight="1" x14ac:dyDescent="0.5">
      <c r="A129" s="35" t="s">
        <v>184</v>
      </c>
      <c r="B129" s="33" t="s">
        <v>183</v>
      </c>
      <c r="C129" s="34">
        <v>13.7</v>
      </c>
      <c r="D129" s="38"/>
      <c r="E129" s="34">
        <v>13.7</v>
      </c>
      <c r="F129" s="38"/>
      <c r="G129" s="34">
        <v>17.2</v>
      </c>
      <c r="H129" s="38"/>
      <c r="I129" s="34">
        <v>18.7</v>
      </c>
      <c r="J129" s="38"/>
      <c r="K129" s="34">
        <v>15.9</v>
      </c>
      <c r="L129" s="38"/>
      <c r="M129" s="35" t="s">
        <v>76</v>
      </c>
      <c r="N129" s="38"/>
      <c r="O129" s="35" t="s">
        <v>76</v>
      </c>
      <c r="P129" s="36"/>
      <c r="Q129" s="43"/>
      <c r="R129" s="33" t="s">
        <v>174</v>
      </c>
      <c r="S129" s="37">
        <v>1</v>
      </c>
      <c r="T129" s="37">
        <v>1</v>
      </c>
      <c r="U129" s="37">
        <v>0</v>
      </c>
      <c r="V129" s="37">
        <v>0</v>
      </c>
      <c r="W129" s="37">
        <v>0</v>
      </c>
      <c r="X129" s="37">
        <v>0</v>
      </c>
      <c r="Y129" s="37">
        <v>0</v>
      </c>
      <c r="Z129" s="37">
        <v>0</v>
      </c>
      <c r="AA129" s="43"/>
      <c r="AB129" s="43"/>
      <c r="AC129" s="43"/>
      <c r="AD129" s="43"/>
      <c r="AE129" s="50"/>
      <c r="AF129" s="43"/>
      <c r="AG129" s="43"/>
      <c r="AH129" s="50"/>
      <c r="AI129" s="49"/>
      <c r="AJ129" s="49"/>
      <c r="AK129" s="1"/>
      <c r="AL129" s="49"/>
      <c r="AM129" s="41"/>
      <c r="AN129" s="41"/>
      <c r="AO129" s="41"/>
      <c r="AP129" s="41"/>
      <c r="AQ129" s="41"/>
      <c r="AR129" s="41"/>
      <c r="AS129" s="41"/>
      <c r="AT129" s="4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</row>
    <row r="130" spans="1:61" ht="15.75" customHeight="1" x14ac:dyDescent="0.5">
      <c r="A130" s="35" t="s">
        <v>185</v>
      </c>
      <c r="B130" s="33" t="s">
        <v>186</v>
      </c>
      <c r="C130" s="34">
        <v>5</v>
      </c>
      <c r="D130" s="38"/>
      <c r="E130" s="34">
        <v>5</v>
      </c>
      <c r="F130" s="38"/>
      <c r="G130" s="34">
        <v>6.6</v>
      </c>
      <c r="H130" s="38"/>
      <c r="I130" s="34">
        <v>7.8</v>
      </c>
      <c r="J130" s="38"/>
      <c r="K130" s="34">
        <v>6.7</v>
      </c>
      <c r="L130" s="38"/>
      <c r="M130" s="35" t="s">
        <v>76</v>
      </c>
      <c r="N130" s="38"/>
      <c r="O130" s="35" t="s">
        <v>76</v>
      </c>
      <c r="P130" s="36"/>
      <c r="Q130" s="43"/>
      <c r="R130" s="33" t="s">
        <v>187</v>
      </c>
      <c r="S130" s="37">
        <v>0</v>
      </c>
      <c r="T130" s="37">
        <v>0</v>
      </c>
      <c r="U130" s="37">
        <v>1</v>
      </c>
      <c r="V130" s="37">
        <v>0</v>
      </c>
      <c r="W130" s="37">
        <v>1</v>
      </c>
      <c r="X130" s="37">
        <v>0</v>
      </c>
      <c r="Y130" s="37">
        <v>0</v>
      </c>
      <c r="Z130" s="37">
        <v>0</v>
      </c>
      <c r="AA130" s="43"/>
      <c r="AB130" s="43"/>
      <c r="AC130" s="43"/>
      <c r="AD130" s="43"/>
      <c r="AE130" s="50"/>
      <c r="AF130" s="43"/>
      <c r="AG130" s="43"/>
      <c r="AH130" s="50"/>
      <c r="AI130" s="49"/>
      <c r="AJ130" s="49"/>
      <c r="AK130" s="1"/>
      <c r="AL130" s="49"/>
      <c r="AM130" s="41"/>
      <c r="AN130" s="41"/>
      <c r="AO130" s="41"/>
      <c r="AP130" s="41"/>
      <c r="AQ130" s="41"/>
      <c r="AR130" s="41"/>
      <c r="AS130" s="41"/>
      <c r="AT130" s="4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</row>
    <row r="131" spans="1:61" ht="15.75" customHeight="1" x14ac:dyDescent="0.5">
      <c r="AA131" s="43"/>
      <c r="AB131" s="43"/>
      <c r="AC131" s="43"/>
      <c r="AD131" s="43"/>
      <c r="AE131" s="43"/>
      <c r="AF131" s="43"/>
      <c r="AG131" s="43"/>
      <c r="AH131" s="43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</row>
    <row r="132" spans="1:61" ht="15.75" customHeight="1" x14ac:dyDescent="0.5">
      <c r="AA132" s="43"/>
      <c r="AB132" s="43"/>
      <c r="AC132" s="43"/>
      <c r="AD132" s="43"/>
      <c r="AE132" s="43"/>
      <c r="AF132" s="43"/>
      <c r="AG132" s="43"/>
      <c r="AH132" s="43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</row>
    <row r="133" spans="1:61" ht="15.75" customHeight="1" x14ac:dyDescent="0.5">
      <c r="A133" s="49"/>
      <c r="B133" s="43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</row>
    <row r="134" spans="1:61" ht="15.75" customHeight="1" x14ac:dyDescent="0.5">
      <c r="A134" s="49"/>
      <c r="B134" s="43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</row>
    <row r="135" spans="1:61" ht="15.75" customHeight="1" x14ac:dyDescent="0.5">
      <c r="A135" s="49"/>
      <c r="B135" s="43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</row>
    <row r="136" spans="1:61" ht="15.75" customHeight="1" x14ac:dyDescent="0.5">
      <c r="A136" s="49"/>
      <c r="B136" s="43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</row>
    <row r="137" spans="1:61" ht="15.75" customHeight="1" x14ac:dyDescent="0.5">
      <c r="A137" s="49"/>
      <c r="B137" s="43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</row>
    <row r="138" spans="1:61" ht="15.75" customHeight="1" x14ac:dyDescent="0.5">
      <c r="A138" s="49"/>
      <c r="B138" s="43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</row>
    <row r="139" spans="1:61" ht="15.75" customHeight="1" x14ac:dyDescent="0.5">
      <c r="A139" s="49"/>
      <c r="B139" s="43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</row>
    <row r="140" spans="1:61" ht="15.75" customHeight="1" x14ac:dyDescent="0.5">
      <c r="A140" s="49"/>
      <c r="B140" s="43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</row>
    <row r="141" spans="1:61" ht="15.75" customHeight="1" x14ac:dyDescent="0.5">
      <c r="A141" s="49"/>
      <c r="B141" s="43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</row>
    <row r="142" spans="1:61" ht="15.75" customHeight="1" x14ac:dyDescent="0.5">
      <c r="A142" s="49"/>
      <c r="B142" s="43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</row>
    <row r="143" spans="1:61" ht="15.75" customHeight="1" x14ac:dyDescent="0.5">
      <c r="A143" s="49"/>
      <c r="B143" s="43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</row>
    <row r="144" spans="1:61" ht="15.75" customHeight="1" x14ac:dyDescent="0.5">
      <c r="A144" s="49"/>
      <c r="B144" s="43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</row>
    <row r="145" spans="1:61" ht="15.75" customHeight="1" x14ac:dyDescent="0.5">
      <c r="A145" s="49"/>
      <c r="B145" s="43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</row>
    <row r="146" spans="1:61" ht="15.75" customHeight="1" x14ac:dyDescent="0.5">
      <c r="A146" s="49"/>
      <c r="B146" s="43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</row>
    <row r="147" spans="1:61" ht="15.75" customHeight="1" x14ac:dyDescent="0.5">
      <c r="A147" s="49"/>
      <c r="B147" s="43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</row>
    <row r="148" spans="1:61" ht="15.75" customHeight="1" x14ac:dyDescent="0.5">
      <c r="A148" s="49"/>
      <c r="B148" s="43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</row>
    <row r="149" spans="1:61" ht="15.75" customHeight="1" x14ac:dyDescent="0.5">
      <c r="A149" s="49"/>
      <c r="B149" s="43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</row>
    <row r="150" spans="1:61" ht="15.75" customHeight="1" x14ac:dyDescent="0.5">
      <c r="A150" s="49"/>
      <c r="B150" s="43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</row>
    <row r="151" spans="1:61" ht="15.75" customHeight="1" x14ac:dyDescent="0.5">
      <c r="A151" s="49"/>
      <c r="B151" s="43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</row>
    <row r="152" spans="1:61" ht="15.75" customHeight="1" x14ac:dyDescent="0.5">
      <c r="A152" s="49"/>
      <c r="B152" s="43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</row>
    <row r="153" spans="1:61" ht="15.75" customHeight="1" x14ac:dyDescent="0.5">
      <c r="A153" s="49"/>
      <c r="B153" s="43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</row>
    <row r="154" spans="1:61" ht="15.75" customHeight="1" x14ac:dyDescent="0.5">
      <c r="A154" s="49"/>
      <c r="B154" s="43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</row>
    <row r="155" spans="1:61" ht="15.75" customHeight="1" x14ac:dyDescent="0.5">
      <c r="A155" s="49"/>
      <c r="B155" s="43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</row>
    <row r="156" spans="1:61" ht="15.75" customHeight="1" x14ac:dyDescent="0.5">
      <c r="A156" s="49"/>
      <c r="B156" s="43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</row>
    <row r="157" spans="1:61" ht="15.75" customHeight="1" x14ac:dyDescent="0.5">
      <c r="A157" s="49"/>
      <c r="B157" s="43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</row>
    <row r="158" spans="1:61" ht="15.75" customHeight="1" x14ac:dyDescent="0.5">
      <c r="A158" s="49"/>
      <c r="B158" s="43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</row>
    <row r="159" spans="1:61" ht="15.75" customHeight="1" x14ac:dyDescent="0.5">
      <c r="A159" s="49"/>
      <c r="B159" s="43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</row>
    <row r="160" spans="1:61" ht="15.75" customHeight="1" x14ac:dyDescent="0.5">
      <c r="A160" s="49"/>
      <c r="B160" s="43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</row>
    <row r="161" spans="1:61" ht="15.75" customHeight="1" x14ac:dyDescent="0.5">
      <c r="A161" s="49"/>
      <c r="B161" s="43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</row>
    <row r="162" spans="1:61" ht="15.75" customHeight="1" x14ac:dyDescent="0.5">
      <c r="A162" s="49"/>
      <c r="B162" s="43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</row>
    <row r="163" spans="1:61" ht="15.75" customHeight="1" x14ac:dyDescent="0.5">
      <c r="A163" s="49"/>
      <c r="B163" s="43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</row>
    <row r="164" spans="1:61" ht="15.75" customHeight="1" x14ac:dyDescent="0.5">
      <c r="A164" s="49"/>
      <c r="B164" s="43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</row>
    <row r="165" spans="1:61" ht="15.75" customHeight="1" x14ac:dyDescent="0.5">
      <c r="A165" s="49"/>
      <c r="B165" s="43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</row>
    <row r="166" spans="1:61" ht="15.75" customHeight="1" x14ac:dyDescent="0.5">
      <c r="A166" s="49"/>
      <c r="B166" s="43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</row>
    <row r="167" spans="1:61" ht="15.75" customHeight="1" x14ac:dyDescent="0.5">
      <c r="A167" s="49"/>
      <c r="B167" s="43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</row>
    <row r="168" spans="1:61" ht="15.75" customHeight="1" x14ac:dyDescent="0.5">
      <c r="A168" s="49"/>
      <c r="B168" s="43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</row>
    <row r="169" spans="1:61" ht="15.75" customHeight="1" x14ac:dyDescent="0.5">
      <c r="A169" s="49"/>
      <c r="B169" s="43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</row>
    <row r="170" spans="1:61" ht="15.75" customHeight="1" x14ac:dyDescent="0.5">
      <c r="A170" s="49"/>
      <c r="B170" s="43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</row>
    <row r="171" spans="1:61" ht="15.75" customHeight="1" x14ac:dyDescent="0.5">
      <c r="A171" s="49"/>
      <c r="B171" s="43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</row>
    <row r="172" spans="1:61" ht="15.75" customHeight="1" x14ac:dyDescent="0.5">
      <c r="A172" s="49"/>
      <c r="B172" s="43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</row>
    <row r="173" spans="1:61" ht="15.75" customHeight="1" x14ac:dyDescent="0.5">
      <c r="A173" s="49"/>
      <c r="B173" s="43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</row>
    <row r="174" spans="1:61" ht="15.75" customHeight="1" x14ac:dyDescent="0.5">
      <c r="A174" s="49"/>
      <c r="B174" s="43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</row>
    <row r="175" spans="1:61" ht="15.75" customHeight="1" x14ac:dyDescent="0.5">
      <c r="A175" s="49"/>
      <c r="B175" s="43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</row>
    <row r="176" spans="1:61" ht="15.75" customHeight="1" x14ac:dyDescent="0.5">
      <c r="A176" s="49"/>
      <c r="B176" s="43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</row>
    <row r="177" spans="1:61" ht="15.75" customHeight="1" x14ac:dyDescent="0.5">
      <c r="A177" s="49"/>
      <c r="B177" s="43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</row>
    <row r="178" spans="1:61" ht="15.75" customHeight="1" x14ac:dyDescent="0.5">
      <c r="A178" s="49"/>
      <c r="B178" s="43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</row>
    <row r="179" spans="1:61" ht="15.75" customHeight="1" x14ac:dyDescent="0.5">
      <c r="A179" s="49"/>
      <c r="B179" s="43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</row>
    <row r="180" spans="1:61" ht="15.75" customHeight="1" x14ac:dyDescent="0.5">
      <c r="A180" s="49"/>
      <c r="B180" s="43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</row>
    <row r="181" spans="1:61" ht="15.75" customHeight="1" x14ac:dyDescent="0.5">
      <c r="A181" s="49"/>
      <c r="B181" s="43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</row>
    <row r="182" spans="1:61" ht="15.75" customHeight="1" x14ac:dyDescent="0.5">
      <c r="A182" s="49"/>
      <c r="B182" s="43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</row>
    <row r="183" spans="1:61" ht="15.75" customHeight="1" x14ac:dyDescent="0.5">
      <c r="A183" s="49"/>
      <c r="B183" s="43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</row>
    <row r="184" spans="1:61" ht="15.75" customHeight="1" x14ac:dyDescent="0.5">
      <c r="A184" s="49"/>
      <c r="B184" s="43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</row>
    <row r="185" spans="1:61" ht="15.75" customHeight="1" x14ac:dyDescent="0.5">
      <c r="A185" s="49"/>
      <c r="B185" s="43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</row>
    <row r="186" spans="1:61" ht="15.75" customHeight="1" x14ac:dyDescent="0.5">
      <c r="A186" s="49"/>
      <c r="B186" s="43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</row>
    <row r="187" spans="1:61" ht="15.75" customHeight="1" x14ac:dyDescent="0.5">
      <c r="A187" s="49"/>
      <c r="B187" s="43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</row>
    <row r="188" spans="1:61" ht="15.75" customHeight="1" x14ac:dyDescent="0.5">
      <c r="A188" s="49"/>
      <c r="B188" s="43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</row>
    <row r="189" spans="1:61" ht="15.75" customHeight="1" x14ac:dyDescent="0.5">
      <c r="A189" s="49"/>
      <c r="B189" s="43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</row>
    <row r="190" spans="1:61" ht="15.75" customHeight="1" x14ac:dyDescent="0.5">
      <c r="A190" s="49"/>
      <c r="B190" s="43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</row>
    <row r="191" spans="1:61" ht="15.75" customHeight="1" x14ac:dyDescent="0.5">
      <c r="A191" s="49"/>
      <c r="B191" s="43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</row>
    <row r="192" spans="1:61" ht="15.75" customHeight="1" x14ac:dyDescent="0.5">
      <c r="A192" s="49"/>
      <c r="B192" s="43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</row>
    <row r="193" spans="1:61" ht="15.75" customHeight="1" x14ac:dyDescent="0.5">
      <c r="A193" s="49"/>
      <c r="B193" s="43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</row>
    <row r="194" spans="1:61" ht="15.75" customHeight="1" x14ac:dyDescent="0.5">
      <c r="A194" s="49"/>
      <c r="B194" s="43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</row>
    <row r="195" spans="1:61" ht="15.75" customHeight="1" x14ac:dyDescent="0.5">
      <c r="A195" s="49"/>
      <c r="B195" s="43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</row>
    <row r="196" spans="1:61" ht="15.75" customHeight="1" x14ac:dyDescent="0.5">
      <c r="A196" s="49"/>
      <c r="B196" s="43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</row>
    <row r="197" spans="1:61" ht="15.75" customHeight="1" x14ac:dyDescent="0.5">
      <c r="A197" s="49"/>
      <c r="B197" s="43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</row>
    <row r="198" spans="1:61" ht="15.75" customHeight="1" x14ac:dyDescent="0.5">
      <c r="A198" s="49"/>
      <c r="B198" s="43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</row>
    <row r="199" spans="1:61" ht="15.75" customHeight="1" x14ac:dyDescent="0.5">
      <c r="A199" s="49"/>
      <c r="B199" s="43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</row>
    <row r="200" spans="1:61" ht="15.75" customHeight="1" x14ac:dyDescent="0.5">
      <c r="A200" s="49"/>
      <c r="B200" s="43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</row>
    <row r="201" spans="1:61" ht="15.75" customHeight="1" x14ac:dyDescent="0.5">
      <c r="A201" s="49"/>
      <c r="B201" s="43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</row>
    <row r="202" spans="1:61" ht="15.75" customHeight="1" x14ac:dyDescent="0.5">
      <c r="A202" s="49"/>
      <c r="B202" s="43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</row>
    <row r="203" spans="1:61" ht="15.75" customHeight="1" x14ac:dyDescent="0.5">
      <c r="A203" s="49"/>
      <c r="B203" s="43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</row>
    <row r="204" spans="1:61" ht="15.75" customHeight="1" x14ac:dyDescent="0.5">
      <c r="A204" s="49"/>
      <c r="B204" s="43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</row>
    <row r="205" spans="1:61" ht="15.75" customHeight="1" x14ac:dyDescent="0.5">
      <c r="A205" s="49"/>
      <c r="B205" s="43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</row>
    <row r="206" spans="1:61" ht="15.75" customHeight="1" x14ac:dyDescent="0.5">
      <c r="A206" s="49"/>
      <c r="B206" s="43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</row>
    <row r="207" spans="1:61" ht="15.75" customHeight="1" x14ac:dyDescent="0.5">
      <c r="A207" s="49"/>
      <c r="B207" s="43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</row>
    <row r="208" spans="1:61" ht="15.75" customHeight="1" x14ac:dyDescent="0.5">
      <c r="A208" s="49"/>
      <c r="B208" s="43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</row>
    <row r="209" spans="1:61" ht="15.75" customHeight="1" x14ac:dyDescent="0.5">
      <c r="A209" s="49"/>
      <c r="B209" s="43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</row>
    <row r="210" spans="1:61" ht="15.75" customHeight="1" x14ac:dyDescent="0.5">
      <c r="A210" s="49"/>
      <c r="B210" s="43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</row>
    <row r="211" spans="1:61" ht="15.75" customHeight="1" x14ac:dyDescent="0.5">
      <c r="A211" s="49"/>
      <c r="B211" s="43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</row>
    <row r="212" spans="1:61" ht="15.75" customHeight="1" x14ac:dyDescent="0.5">
      <c r="A212" s="49"/>
      <c r="B212" s="43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</row>
    <row r="213" spans="1:61" ht="15.75" customHeight="1" x14ac:dyDescent="0.5">
      <c r="A213" s="49"/>
      <c r="B213" s="43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</row>
    <row r="214" spans="1:61" ht="15.75" customHeight="1" x14ac:dyDescent="0.5">
      <c r="A214" s="49"/>
      <c r="B214" s="43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</row>
    <row r="215" spans="1:61" ht="15.75" customHeight="1" x14ac:dyDescent="0.5">
      <c r="A215" s="49"/>
      <c r="B215" s="43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</row>
    <row r="216" spans="1:61" ht="15.75" customHeight="1" x14ac:dyDescent="0.5">
      <c r="A216" s="49"/>
      <c r="B216" s="43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</row>
    <row r="217" spans="1:61" ht="15.75" customHeight="1" x14ac:dyDescent="0.5">
      <c r="A217" s="49"/>
      <c r="B217" s="43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</row>
    <row r="218" spans="1:61" ht="15.75" customHeight="1" x14ac:dyDescent="0.5">
      <c r="A218" s="49"/>
      <c r="B218" s="43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</row>
    <row r="219" spans="1:61" ht="15.75" customHeight="1" x14ac:dyDescent="0.5">
      <c r="A219" s="49"/>
      <c r="B219" s="43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</row>
    <row r="220" spans="1:61" ht="15.75" customHeight="1" x14ac:dyDescent="0.5">
      <c r="A220" s="49"/>
      <c r="B220" s="43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</row>
    <row r="221" spans="1:61" ht="15.75" customHeight="1" x14ac:dyDescent="0.5">
      <c r="A221" s="49"/>
      <c r="B221" s="43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</row>
    <row r="222" spans="1:61" ht="15.75" customHeight="1" x14ac:dyDescent="0.5">
      <c r="A222" s="49"/>
      <c r="B222" s="43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</row>
    <row r="223" spans="1:61" ht="15.75" customHeight="1" x14ac:dyDescent="0.5">
      <c r="A223" s="49"/>
      <c r="B223" s="43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</row>
    <row r="224" spans="1:61" ht="15.75" customHeight="1" x14ac:dyDescent="0.5">
      <c r="A224" s="49"/>
      <c r="B224" s="43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</row>
    <row r="225" spans="1:61" ht="15.75" customHeight="1" x14ac:dyDescent="0.5">
      <c r="A225" s="49"/>
      <c r="B225" s="43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</row>
    <row r="226" spans="1:61" ht="15.75" customHeight="1" x14ac:dyDescent="0.5">
      <c r="A226" s="49"/>
      <c r="B226" s="43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</row>
    <row r="227" spans="1:61" ht="15.75" customHeight="1" x14ac:dyDescent="0.5">
      <c r="A227" s="49"/>
      <c r="B227" s="43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</row>
    <row r="228" spans="1:61" ht="15.75" customHeight="1" x14ac:dyDescent="0.5">
      <c r="A228" s="49"/>
      <c r="B228" s="43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</row>
    <row r="229" spans="1:61" ht="15.75" customHeight="1" x14ac:dyDescent="0.5">
      <c r="A229" s="49"/>
      <c r="B229" s="43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</row>
    <row r="230" spans="1:61" ht="15.75" customHeight="1" x14ac:dyDescent="0.5">
      <c r="A230" s="49"/>
      <c r="B230" s="43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</row>
    <row r="231" spans="1:61" ht="15.75" customHeight="1" x14ac:dyDescent="0.5">
      <c r="A231" s="49"/>
      <c r="B231" s="43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</row>
    <row r="232" spans="1:61" ht="15.75" customHeight="1" x14ac:dyDescent="0.5">
      <c r="A232" s="49"/>
      <c r="B232" s="43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</row>
    <row r="233" spans="1:61" ht="15.75" customHeight="1" x14ac:dyDescent="0.5">
      <c r="A233" s="49"/>
      <c r="B233" s="43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</row>
    <row r="234" spans="1:61" ht="15.75" customHeight="1" x14ac:dyDescent="0.5">
      <c r="A234" s="49"/>
      <c r="B234" s="43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</row>
    <row r="235" spans="1:61" ht="15.75" customHeight="1" x14ac:dyDescent="0.5">
      <c r="A235" s="49"/>
      <c r="B235" s="43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</row>
    <row r="236" spans="1:61" ht="15.75" customHeight="1" x14ac:dyDescent="0.5">
      <c r="A236" s="49"/>
      <c r="B236" s="43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</row>
    <row r="237" spans="1:61" ht="15.75" customHeight="1" x14ac:dyDescent="0.5">
      <c r="A237" s="49"/>
      <c r="B237" s="43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</row>
    <row r="238" spans="1:61" ht="15.75" customHeight="1" x14ac:dyDescent="0.5">
      <c r="A238" s="49"/>
      <c r="B238" s="43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</row>
    <row r="239" spans="1:61" ht="15.75" customHeight="1" x14ac:dyDescent="0.5">
      <c r="A239" s="49"/>
      <c r="B239" s="43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</row>
    <row r="240" spans="1:61" ht="15.75" customHeight="1" x14ac:dyDescent="0.5">
      <c r="A240" s="49"/>
      <c r="B240" s="43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</row>
    <row r="241" spans="1:61" ht="15.75" customHeight="1" x14ac:dyDescent="0.5">
      <c r="A241" s="49"/>
      <c r="B241" s="43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</row>
    <row r="242" spans="1:61" ht="15.75" customHeight="1" x14ac:dyDescent="0.5">
      <c r="A242" s="49"/>
      <c r="B242" s="43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</row>
    <row r="243" spans="1:61" ht="15.75" customHeight="1" x14ac:dyDescent="0.5">
      <c r="A243" s="49"/>
      <c r="B243" s="43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</row>
    <row r="244" spans="1:61" ht="15.75" customHeight="1" x14ac:dyDescent="0.5">
      <c r="A244" s="49"/>
      <c r="B244" s="43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</row>
    <row r="245" spans="1:61" ht="15.75" customHeight="1" x14ac:dyDescent="0.5">
      <c r="A245" s="49"/>
      <c r="B245" s="43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</row>
    <row r="246" spans="1:61" ht="15.75" customHeight="1" x14ac:dyDescent="0.5">
      <c r="A246" s="49"/>
      <c r="B246" s="43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</row>
    <row r="247" spans="1:61" ht="15.75" customHeight="1" x14ac:dyDescent="0.5">
      <c r="A247" s="49"/>
      <c r="B247" s="43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</row>
    <row r="248" spans="1:61" ht="15.75" customHeight="1" x14ac:dyDescent="0.5">
      <c r="A248" s="49"/>
      <c r="B248" s="43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</row>
    <row r="249" spans="1:61" ht="15.75" customHeight="1" x14ac:dyDescent="0.5">
      <c r="A249" s="49"/>
      <c r="B249" s="43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</row>
    <row r="250" spans="1:61" ht="15.75" customHeight="1" x14ac:dyDescent="0.5">
      <c r="A250" s="49"/>
      <c r="B250" s="43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</row>
    <row r="251" spans="1:61" ht="15.75" customHeight="1" x14ac:dyDescent="0.5">
      <c r="A251" s="49"/>
      <c r="B251" s="43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</row>
    <row r="252" spans="1:61" ht="15.75" customHeight="1" x14ac:dyDescent="0.5">
      <c r="A252" s="49"/>
      <c r="B252" s="43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</row>
    <row r="253" spans="1:61" ht="15.75" customHeight="1" x14ac:dyDescent="0.5">
      <c r="A253" s="49"/>
      <c r="B253" s="43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</row>
    <row r="254" spans="1:61" ht="15.75" customHeight="1" x14ac:dyDescent="0.5">
      <c r="A254" s="49"/>
      <c r="B254" s="43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</row>
    <row r="255" spans="1:61" ht="15.75" customHeight="1" x14ac:dyDescent="0.5">
      <c r="A255" s="49"/>
      <c r="B255" s="43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</row>
    <row r="256" spans="1:61" ht="15.75" customHeight="1" x14ac:dyDescent="0.5">
      <c r="A256" s="49"/>
      <c r="B256" s="43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</row>
    <row r="257" spans="1:61" ht="15.75" customHeight="1" x14ac:dyDescent="0.5">
      <c r="A257" s="49"/>
      <c r="B257" s="43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</row>
    <row r="258" spans="1:61" ht="15.75" customHeight="1" x14ac:dyDescent="0.5">
      <c r="A258" s="49"/>
      <c r="B258" s="43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</row>
    <row r="259" spans="1:61" ht="15.75" customHeight="1" x14ac:dyDescent="0.5">
      <c r="A259" s="49"/>
      <c r="B259" s="43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</row>
    <row r="260" spans="1:61" ht="15.75" customHeight="1" x14ac:dyDescent="0.5">
      <c r="A260" s="49"/>
      <c r="B260" s="43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</row>
    <row r="261" spans="1:61" ht="15.75" customHeight="1" x14ac:dyDescent="0.5">
      <c r="A261" s="49"/>
      <c r="B261" s="43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</row>
    <row r="262" spans="1:61" ht="15.75" customHeight="1" x14ac:dyDescent="0.5">
      <c r="A262" s="49"/>
      <c r="B262" s="43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</row>
    <row r="263" spans="1:61" ht="15.75" customHeight="1" x14ac:dyDescent="0.5">
      <c r="A263" s="49"/>
      <c r="B263" s="43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</row>
    <row r="264" spans="1:61" ht="15.75" customHeight="1" x14ac:dyDescent="0.5">
      <c r="A264" s="49"/>
      <c r="B264" s="43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</row>
    <row r="265" spans="1:61" ht="15.75" customHeight="1" x14ac:dyDescent="0.5">
      <c r="A265" s="49"/>
      <c r="B265" s="43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</row>
    <row r="266" spans="1:61" ht="15.75" customHeight="1" x14ac:dyDescent="0.5">
      <c r="A266" s="49"/>
      <c r="B266" s="43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</row>
    <row r="267" spans="1:61" ht="15.75" customHeight="1" x14ac:dyDescent="0.5">
      <c r="A267" s="49"/>
      <c r="B267" s="43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</row>
    <row r="268" spans="1:61" ht="15.75" customHeight="1" x14ac:dyDescent="0.5">
      <c r="A268" s="49"/>
      <c r="B268" s="43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</row>
    <row r="269" spans="1:61" ht="15.75" customHeight="1" x14ac:dyDescent="0.5">
      <c r="A269" s="49"/>
      <c r="B269" s="43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</row>
    <row r="270" spans="1:61" ht="15.75" customHeight="1" x14ac:dyDescent="0.5">
      <c r="A270" s="49"/>
      <c r="B270" s="43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</row>
    <row r="271" spans="1:61" ht="15.75" customHeight="1" x14ac:dyDescent="0.5">
      <c r="A271" s="49"/>
      <c r="B271" s="43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</row>
    <row r="272" spans="1:61" ht="15.75" customHeight="1" x14ac:dyDescent="0.5">
      <c r="A272" s="49"/>
      <c r="B272" s="43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</row>
    <row r="273" spans="1:61" ht="15.75" customHeight="1" x14ac:dyDescent="0.5">
      <c r="A273" s="49"/>
      <c r="B273" s="43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</row>
    <row r="274" spans="1:61" ht="15.75" customHeight="1" x14ac:dyDescent="0.5">
      <c r="A274" s="49"/>
      <c r="B274" s="43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</row>
    <row r="275" spans="1:61" ht="15.75" customHeight="1" x14ac:dyDescent="0.5">
      <c r="A275" s="49"/>
      <c r="B275" s="43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</row>
    <row r="276" spans="1:61" ht="15.75" customHeight="1" x14ac:dyDescent="0.5">
      <c r="A276" s="49"/>
      <c r="B276" s="43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</row>
    <row r="277" spans="1:61" ht="15.75" customHeight="1" x14ac:dyDescent="0.5">
      <c r="A277" s="49"/>
      <c r="B277" s="43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</row>
    <row r="278" spans="1:61" ht="15.75" customHeight="1" x14ac:dyDescent="0.5">
      <c r="A278" s="49"/>
      <c r="B278" s="43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</row>
    <row r="279" spans="1:61" ht="15.75" customHeight="1" x14ac:dyDescent="0.5">
      <c r="A279" s="49"/>
      <c r="B279" s="43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</row>
    <row r="280" spans="1:61" ht="15.75" customHeight="1" x14ac:dyDescent="0.5">
      <c r="A280" s="49"/>
      <c r="B280" s="43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</row>
    <row r="281" spans="1:61" ht="15.75" customHeight="1" x14ac:dyDescent="0.5">
      <c r="A281" s="49"/>
      <c r="B281" s="43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</row>
    <row r="282" spans="1:61" ht="15.75" customHeight="1" x14ac:dyDescent="0.5">
      <c r="A282" s="49"/>
      <c r="B282" s="43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</row>
    <row r="283" spans="1:61" ht="15.75" customHeight="1" x14ac:dyDescent="0.5">
      <c r="A283" s="49"/>
      <c r="B283" s="43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</row>
    <row r="284" spans="1:61" ht="15.75" customHeight="1" x14ac:dyDescent="0.5">
      <c r="A284" s="49"/>
      <c r="B284" s="43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</row>
    <row r="285" spans="1:61" ht="15.75" customHeight="1" x14ac:dyDescent="0.5">
      <c r="A285" s="49"/>
      <c r="B285" s="43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</row>
    <row r="286" spans="1:61" ht="15.75" customHeight="1" x14ac:dyDescent="0.5">
      <c r="A286" s="49"/>
      <c r="B286" s="43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</row>
    <row r="287" spans="1:61" ht="15.75" customHeight="1" x14ac:dyDescent="0.5">
      <c r="A287" s="49"/>
      <c r="B287" s="43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</row>
    <row r="288" spans="1:61" ht="15.75" customHeight="1" x14ac:dyDescent="0.5">
      <c r="A288" s="49"/>
      <c r="B288" s="43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</row>
    <row r="289" spans="1:61" ht="15.75" customHeight="1" x14ac:dyDescent="0.5">
      <c r="A289" s="49"/>
      <c r="B289" s="43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</row>
    <row r="290" spans="1:61" ht="15.75" customHeight="1" x14ac:dyDescent="0.5">
      <c r="A290" s="49"/>
      <c r="B290" s="43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</row>
    <row r="291" spans="1:61" ht="15.75" customHeight="1" x14ac:dyDescent="0.5">
      <c r="A291" s="49"/>
      <c r="B291" s="43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</row>
    <row r="292" spans="1:61" ht="15.75" customHeight="1" x14ac:dyDescent="0.5">
      <c r="A292" s="49"/>
      <c r="B292" s="43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</row>
    <row r="293" spans="1:61" ht="15.75" customHeight="1" x14ac:dyDescent="0.5">
      <c r="A293" s="49"/>
      <c r="B293" s="43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</row>
    <row r="294" spans="1:61" ht="15.75" customHeight="1" x14ac:dyDescent="0.5">
      <c r="A294" s="49"/>
      <c r="B294" s="43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</row>
    <row r="295" spans="1:61" ht="15.75" customHeight="1" x14ac:dyDescent="0.5">
      <c r="A295" s="49"/>
      <c r="B295" s="43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</row>
    <row r="296" spans="1:61" ht="15.75" customHeight="1" x14ac:dyDescent="0.5">
      <c r="A296" s="49"/>
      <c r="B296" s="43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</row>
    <row r="297" spans="1:61" ht="15.75" customHeight="1" x14ac:dyDescent="0.5">
      <c r="A297" s="49"/>
      <c r="B297" s="43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</row>
    <row r="298" spans="1:61" ht="15.75" customHeight="1" x14ac:dyDescent="0.5">
      <c r="A298" s="49"/>
      <c r="B298" s="43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</row>
    <row r="299" spans="1:61" ht="15.75" customHeight="1" x14ac:dyDescent="0.5">
      <c r="A299" s="49"/>
      <c r="B299" s="43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</row>
    <row r="300" spans="1:61" ht="15.75" customHeight="1" x14ac:dyDescent="0.5">
      <c r="A300" s="49"/>
      <c r="B300" s="43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</row>
    <row r="301" spans="1:61" ht="15.75" customHeight="1" x14ac:dyDescent="0.5">
      <c r="A301" s="49"/>
      <c r="B301" s="43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</row>
    <row r="302" spans="1:61" ht="15.75" customHeight="1" x14ac:dyDescent="0.5">
      <c r="A302" s="49"/>
      <c r="B302" s="43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</row>
    <row r="303" spans="1:61" ht="15.75" customHeight="1" x14ac:dyDescent="0.5">
      <c r="A303" s="49"/>
      <c r="B303" s="43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</row>
    <row r="304" spans="1:61" ht="15.75" customHeight="1" x14ac:dyDescent="0.5">
      <c r="A304" s="49"/>
      <c r="B304" s="43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</row>
    <row r="305" spans="1:61" ht="15.75" customHeight="1" x14ac:dyDescent="0.5">
      <c r="A305" s="49"/>
      <c r="B305" s="43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</row>
    <row r="306" spans="1:61" ht="15.75" customHeight="1" x14ac:dyDescent="0.5">
      <c r="A306" s="49"/>
      <c r="B306" s="43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</row>
    <row r="307" spans="1:61" ht="15.75" customHeight="1" x14ac:dyDescent="0.5">
      <c r="A307" s="49"/>
      <c r="B307" s="43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</row>
    <row r="308" spans="1:61" ht="15.75" customHeight="1" x14ac:dyDescent="0.5">
      <c r="A308" s="49"/>
      <c r="B308" s="43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</row>
    <row r="309" spans="1:61" ht="15.75" customHeight="1" x14ac:dyDescent="0.5">
      <c r="A309" s="49"/>
      <c r="B309" s="43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</row>
    <row r="310" spans="1:61" ht="15.75" customHeight="1" x14ac:dyDescent="0.5">
      <c r="A310" s="49"/>
      <c r="B310" s="43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</row>
    <row r="311" spans="1:61" ht="15.75" customHeight="1" x14ac:dyDescent="0.5">
      <c r="A311" s="49"/>
      <c r="B311" s="43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</row>
    <row r="312" spans="1:61" ht="15.75" customHeight="1" x14ac:dyDescent="0.5">
      <c r="A312" s="49"/>
      <c r="B312" s="43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</row>
    <row r="313" spans="1:61" ht="15.75" customHeight="1" x14ac:dyDescent="0.5">
      <c r="A313" s="49"/>
      <c r="B313" s="43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</row>
    <row r="314" spans="1:61" ht="15.75" customHeight="1" x14ac:dyDescent="0.5">
      <c r="A314" s="49"/>
      <c r="B314" s="43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</row>
    <row r="315" spans="1:61" ht="15.75" customHeight="1" x14ac:dyDescent="0.5">
      <c r="A315" s="49"/>
      <c r="B315" s="43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</row>
    <row r="316" spans="1:61" ht="15.75" customHeight="1" x14ac:dyDescent="0.5">
      <c r="A316" s="49"/>
      <c r="B316" s="43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</row>
    <row r="317" spans="1:61" ht="15.75" customHeight="1" x14ac:dyDescent="0.5">
      <c r="A317" s="49"/>
      <c r="B317" s="43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</row>
    <row r="318" spans="1:61" ht="15.75" customHeight="1" x14ac:dyDescent="0.5">
      <c r="A318" s="49"/>
      <c r="B318" s="43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</row>
    <row r="319" spans="1:61" ht="15.75" customHeight="1" x14ac:dyDescent="0.5">
      <c r="A319" s="49"/>
      <c r="B319" s="43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</row>
    <row r="320" spans="1:61" ht="15.75" customHeight="1" x14ac:dyDescent="0.5">
      <c r="A320" s="49"/>
      <c r="B320" s="43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</row>
    <row r="321" spans="1:61" ht="15.75" customHeight="1" x14ac:dyDescent="0.5">
      <c r="A321" s="49"/>
      <c r="B321" s="43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</row>
    <row r="322" spans="1:61" ht="15.75" customHeight="1" x14ac:dyDescent="0.5">
      <c r="A322" s="49"/>
      <c r="B322" s="43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</row>
    <row r="323" spans="1:61" ht="15.75" customHeight="1" x14ac:dyDescent="0.5">
      <c r="A323" s="49"/>
      <c r="B323" s="43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</row>
    <row r="324" spans="1:61" ht="15.75" customHeight="1" x14ac:dyDescent="0.5">
      <c r="A324" s="49"/>
      <c r="B324" s="43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</row>
    <row r="325" spans="1:61" ht="15.75" customHeight="1" x14ac:dyDescent="0.5">
      <c r="A325" s="49"/>
      <c r="B325" s="43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</row>
    <row r="326" spans="1:61" ht="15.75" customHeight="1" x14ac:dyDescent="0.5">
      <c r="A326" s="49"/>
      <c r="B326" s="43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</row>
    <row r="327" spans="1:61" ht="15.75" customHeight="1" x14ac:dyDescent="0.5">
      <c r="A327" s="49"/>
      <c r="B327" s="43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</row>
    <row r="328" spans="1:61" ht="15.75" customHeight="1" x14ac:dyDescent="0.5">
      <c r="A328" s="49"/>
      <c r="B328" s="43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</row>
    <row r="329" spans="1:61" ht="15.75" customHeight="1" x14ac:dyDescent="0.5">
      <c r="A329" s="49"/>
      <c r="B329" s="43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</row>
    <row r="330" spans="1:61" ht="15.75" customHeight="1" x14ac:dyDescent="0.5">
      <c r="A330" s="49"/>
      <c r="B330" s="43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</row>
    <row r="331" spans="1:61" ht="15.75" customHeight="1" x14ac:dyDescent="0.5">
      <c r="A331" s="49"/>
      <c r="B331" s="43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</row>
    <row r="332" spans="1:61" ht="15.75" customHeight="1" x14ac:dyDescent="0.5">
      <c r="A332" s="49"/>
      <c r="B332" s="43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</row>
    <row r="333" spans="1:61" ht="15.75" customHeight="1" x14ac:dyDescent="0.5">
      <c r="A333" s="49"/>
      <c r="B333" s="43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</row>
    <row r="334" spans="1:61" ht="15.75" customHeight="1" x14ac:dyDescent="0.5">
      <c r="A334" s="49"/>
      <c r="B334" s="43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</row>
    <row r="335" spans="1:61" ht="15.75" customHeight="1" x14ac:dyDescent="0.5">
      <c r="A335" s="49"/>
      <c r="B335" s="43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</row>
    <row r="336" spans="1:61" ht="15.75" customHeight="1" x14ac:dyDescent="0.5">
      <c r="A336" s="49"/>
      <c r="B336" s="43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</row>
    <row r="337" spans="1:61" ht="15.75" customHeight="1" x14ac:dyDescent="0.5">
      <c r="A337" s="49"/>
      <c r="B337" s="43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</row>
    <row r="338" spans="1:61" ht="15.75" customHeight="1" x14ac:dyDescent="0.5">
      <c r="A338" s="49"/>
      <c r="B338" s="43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</row>
    <row r="339" spans="1:61" ht="15.75" customHeight="1" x14ac:dyDescent="0.5">
      <c r="A339" s="49"/>
      <c r="B339" s="43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</row>
    <row r="340" spans="1:61" ht="15.75" customHeight="1" x14ac:dyDescent="0.5">
      <c r="A340" s="49"/>
      <c r="B340" s="43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</row>
    <row r="341" spans="1:61" ht="15.75" customHeight="1" x14ac:dyDescent="0.5">
      <c r="A341" s="49"/>
      <c r="B341" s="43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</row>
    <row r="342" spans="1:61" ht="15.75" customHeight="1" x14ac:dyDescent="0.5">
      <c r="A342" s="49"/>
      <c r="B342" s="43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</row>
    <row r="343" spans="1:61" ht="15.75" customHeight="1" x14ac:dyDescent="0.5">
      <c r="A343" s="49"/>
      <c r="B343" s="43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</row>
    <row r="344" spans="1:61" ht="15.75" customHeight="1" x14ac:dyDescent="0.5">
      <c r="A344" s="49"/>
      <c r="B344" s="43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</row>
    <row r="345" spans="1:61" ht="15.75" customHeight="1" x14ac:dyDescent="0.5">
      <c r="A345" s="49"/>
      <c r="B345" s="43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</row>
    <row r="346" spans="1:61" ht="15.75" customHeight="1" x14ac:dyDescent="0.5">
      <c r="A346" s="49"/>
      <c r="B346" s="43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</row>
    <row r="347" spans="1:61" ht="15.75" customHeight="1" x14ac:dyDescent="0.5">
      <c r="A347" s="49"/>
      <c r="B347" s="43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</row>
    <row r="348" spans="1:61" ht="15.75" customHeight="1" x14ac:dyDescent="0.5">
      <c r="A348" s="49"/>
      <c r="B348" s="43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</row>
    <row r="349" spans="1:61" ht="15.75" customHeight="1" x14ac:dyDescent="0.5">
      <c r="A349" s="49"/>
      <c r="B349" s="43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</row>
    <row r="350" spans="1:61" ht="15.75" customHeight="1" x14ac:dyDescent="0.5">
      <c r="A350" s="49"/>
      <c r="B350" s="43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</row>
    <row r="351" spans="1:61" ht="15.75" customHeight="1" x14ac:dyDescent="0.5">
      <c r="A351" s="49"/>
      <c r="B351" s="43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</row>
    <row r="352" spans="1:61" ht="15.75" customHeight="1" x14ac:dyDescent="0.5">
      <c r="A352" s="49"/>
      <c r="B352" s="43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</row>
    <row r="353" spans="1:61" ht="15.75" customHeight="1" x14ac:dyDescent="0.5">
      <c r="A353" s="49"/>
      <c r="B353" s="43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</row>
    <row r="354" spans="1:61" ht="15.75" customHeight="1" x14ac:dyDescent="0.5">
      <c r="A354" s="49"/>
      <c r="B354" s="43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</row>
    <row r="355" spans="1:61" ht="15.75" customHeight="1" x14ac:dyDescent="0.5">
      <c r="A355" s="49"/>
      <c r="B355" s="43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</row>
    <row r="356" spans="1:61" ht="15.75" customHeight="1" x14ac:dyDescent="0.5">
      <c r="A356" s="49"/>
      <c r="B356" s="43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</row>
    <row r="357" spans="1:61" ht="15.75" customHeight="1" x14ac:dyDescent="0.5">
      <c r="A357" s="49"/>
      <c r="B357" s="43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</row>
    <row r="358" spans="1:61" ht="15.75" customHeight="1" x14ac:dyDescent="0.5">
      <c r="A358" s="49"/>
      <c r="B358" s="43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</row>
    <row r="359" spans="1:61" ht="15.75" customHeight="1" x14ac:dyDescent="0.5">
      <c r="A359" s="49"/>
      <c r="B359" s="43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</row>
    <row r="360" spans="1:61" ht="15.75" customHeight="1" x14ac:dyDescent="0.5">
      <c r="A360" s="49"/>
      <c r="B360" s="43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</row>
    <row r="361" spans="1:61" ht="15.75" customHeight="1" x14ac:dyDescent="0.5">
      <c r="A361" s="49"/>
      <c r="B361" s="43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</row>
    <row r="362" spans="1:61" ht="15.75" customHeight="1" x14ac:dyDescent="0.5">
      <c r="A362" s="49"/>
      <c r="B362" s="43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</row>
    <row r="363" spans="1:61" ht="15.75" customHeight="1" x14ac:dyDescent="0.5">
      <c r="A363" s="49"/>
      <c r="B363" s="43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</row>
    <row r="364" spans="1:61" ht="15.75" customHeight="1" x14ac:dyDescent="0.5">
      <c r="A364" s="49"/>
      <c r="B364" s="43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</row>
    <row r="365" spans="1:61" ht="15.75" customHeight="1" x14ac:dyDescent="0.5">
      <c r="A365" s="49"/>
      <c r="B365" s="43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</row>
    <row r="366" spans="1:61" ht="15.75" customHeight="1" x14ac:dyDescent="0.5">
      <c r="A366" s="49"/>
      <c r="B366" s="43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</row>
    <row r="367" spans="1:61" ht="15.75" customHeight="1" x14ac:dyDescent="0.5">
      <c r="A367" s="49"/>
      <c r="B367" s="43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</row>
    <row r="368" spans="1:61" ht="15.75" customHeight="1" x14ac:dyDescent="0.5">
      <c r="A368" s="49"/>
      <c r="B368" s="43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</row>
    <row r="369" spans="1:61" ht="15.75" customHeight="1" x14ac:dyDescent="0.5">
      <c r="A369" s="49"/>
      <c r="B369" s="43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</row>
    <row r="370" spans="1:61" ht="15.75" customHeight="1" x14ac:dyDescent="0.5">
      <c r="A370" s="49"/>
      <c r="B370" s="43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</row>
    <row r="371" spans="1:61" ht="15.75" customHeight="1" x14ac:dyDescent="0.5">
      <c r="A371" s="49"/>
      <c r="B371" s="43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</row>
    <row r="372" spans="1:61" ht="15.75" customHeight="1" x14ac:dyDescent="0.5">
      <c r="A372" s="49"/>
      <c r="B372" s="43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</row>
    <row r="373" spans="1:61" ht="15.75" customHeight="1" x14ac:dyDescent="0.5">
      <c r="A373" s="49"/>
      <c r="B373" s="43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</row>
    <row r="374" spans="1:61" ht="15.75" customHeight="1" x14ac:dyDescent="0.5">
      <c r="A374" s="49"/>
      <c r="B374" s="43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</row>
    <row r="375" spans="1:61" ht="15.75" customHeight="1" x14ac:dyDescent="0.5">
      <c r="A375" s="49"/>
      <c r="B375" s="43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</row>
    <row r="376" spans="1:61" ht="15.75" customHeight="1" x14ac:dyDescent="0.5">
      <c r="A376" s="49"/>
      <c r="B376" s="43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</row>
    <row r="377" spans="1:61" ht="15.75" customHeight="1" x14ac:dyDescent="0.5">
      <c r="A377" s="49"/>
      <c r="B377" s="43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</row>
    <row r="378" spans="1:61" ht="15.75" customHeight="1" x14ac:dyDescent="0.5">
      <c r="A378" s="49"/>
      <c r="B378" s="43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</row>
    <row r="379" spans="1:61" ht="15.75" customHeight="1" x14ac:dyDescent="0.5">
      <c r="A379" s="49"/>
      <c r="B379" s="43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</row>
    <row r="380" spans="1:61" ht="15.75" customHeight="1" x14ac:dyDescent="0.5">
      <c r="A380" s="49"/>
      <c r="B380" s="43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</row>
    <row r="381" spans="1:61" ht="15.75" customHeight="1" x14ac:dyDescent="0.5">
      <c r="A381" s="49"/>
      <c r="B381" s="43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</row>
    <row r="382" spans="1:61" ht="15.75" customHeight="1" x14ac:dyDescent="0.5">
      <c r="A382" s="49"/>
      <c r="B382" s="43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</row>
    <row r="383" spans="1:61" ht="15.75" customHeight="1" x14ac:dyDescent="0.5">
      <c r="A383" s="49"/>
      <c r="B383" s="43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</row>
    <row r="384" spans="1:61" ht="15.75" customHeight="1" x14ac:dyDescent="0.5">
      <c r="A384" s="49"/>
      <c r="B384" s="43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</row>
    <row r="385" spans="1:61" ht="15.75" customHeight="1" x14ac:dyDescent="0.5">
      <c r="A385" s="49"/>
      <c r="B385" s="43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</row>
    <row r="386" spans="1:61" ht="15.75" customHeight="1" x14ac:dyDescent="0.5">
      <c r="A386" s="49"/>
      <c r="B386" s="43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</row>
    <row r="387" spans="1:61" ht="15.75" customHeight="1" x14ac:dyDescent="0.5">
      <c r="A387" s="49"/>
      <c r="B387" s="43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</row>
    <row r="388" spans="1:61" ht="15.75" customHeight="1" x14ac:dyDescent="0.5">
      <c r="A388" s="49"/>
      <c r="B388" s="43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</row>
    <row r="389" spans="1:61" ht="15.75" customHeight="1" x14ac:dyDescent="0.5">
      <c r="A389" s="49"/>
      <c r="B389" s="43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</row>
    <row r="390" spans="1:61" ht="15.75" customHeight="1" x14ac:dyDescent="0.5">
      <c r="A390" s="49"/>
      <c r="B390" s="43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</row>
    <row r="391" spans="1:61" ht="15.75" customHeight="1" x14ac:dyDescent="0.5">
      <c r="A391" s="49"/>
      <c r="B391" s="43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</row>
    <row r="392" spans="1:61" ht="15.75" customHeight="1" x14ac:dyDescent="0.5">
      <c r="A392" s="49"/>
      <c r="B392" s="43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</row>
    <row r="393" spans="1:61" ht="15.75" customHeight="1" x14ac:dyDescent="0.5">
      <c r="A393" s="49"/>
      <c r="B393" s="43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</row>
    <row r="394" spans="1:61" ht="15.75" customHeight="1" x14ac:dyDescent="0.5">
      <c r="A394" s="49"/>
      <c r="B394" s="43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</row>
    <row r="395" spans="1:61" ht="15.75" customHeight="1" x14ac:dyDescent="0.5">
      <c r="A395" s="49"/>
      <c r="B395" s="43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</row>
    <row r="396" spans="1:61" ht="15.75" customHeight="1" x14ac:dyDescent="0.5">
      <c r="A396" s="49"/>
      <c r="B396" s="43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</row>
    <row r="397" spans="1:61" ht="15.75" customHeight="1" x14ac:dyDescent="0.5">
      <c r="A397" s="49"/>
      <c r="B397" s="43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</row>
    <row r="398" spans="1:61" ht="15.75" customHeight="1" x14ac:dyDescent="0.5">
      <c r="A398" s="49"/>
      <c r="B398" s="43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</row>
    <row r="399" spans="1:61" ht="15.75" customHeight="1" x14ac:dyDescent="0.5">
      <c r="A399" s="49"/>
      <c r="B399" s="43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</row>
    <row r="400" spans="1:61" ht="15.75" customHeight="1" x14ac:dyDescent="0.5">
      <c r="A400" s="49"/>
      <c r="B400" s="43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</row>
    <row r="401" spans="1:61" ht="15.75" customHeight="1" x14ac:dyDescent="0.5">
      <c r="A401" s="49"/>
      <c r="B401" s="43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</row>
    <row r="402" spans="1:61" ht="15.75" customHeight="1" x14ac:dyDescent="0.5">
      <c r="A402" s="49"/>
      <c r="B402" s="43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</row>
    <row r="403" spans="1:61" ht="15.75" customHeight="1" x14ac:dyDescent="0.5">
      <c r="A403" s="49"/>
      <c r="B403" s="43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</row>
    <row r="404" spans="1:61" ht="15.75" customHeight="1" x14ac:dyDescent="0.5">
      <c r="A404" s="49"/>
      <c r="B404" s="43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</row>
    <row r="405" spans="1:61" ht="15.75" customHeight="1" x14ac:dyDescent="0.5">
      <c r="A405" s="49"/>
      <c r="B405" s="43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</row>
    <row r="406" spans="1:61" ht="15.75" customHeight="1" x14ac:dyDescent="0.5">
      <c r="A406" s="49"/>
      <c r="B406" s="43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</row>
    <row r="407" spans="1:61" ht="15.75" customHeight="1" x14ac:dyDescent="0.5">
      <c r="A407" s="49"/>
      <c r="B407" s="43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</row>
    <row r="408" spans="1:61" ht="15.75" customHeight="1" x14ac:dyDescent="0.5">
      <c r="A408" s="49"/>
      <c r="B408" s="43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</row>
    <row r="409" spans="1:61" ht="15.75" customHeight="1" x14ac:dyDescent="0.5">
      <c r="A409" s="49"/>
      <c r="B409" s="43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</row>
    <row r="410" spans="1:61" ht="15.75" customHeight="1" x14ac:dyDescent="0.5">
      <c r="A410" s="49"/>
      <c r="B410" s="43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</row>
    <row r="411" spans="1:61" ht="15.75" customHeight="1" x14ac:dyDescent="0.5">
      <c r="A411" s="49"/>
      <c r="B411" s="43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</row>
    <row r="412" spans="1:61" ht="15.75" customHeight="1" x14ac:dyDescent="0.5">
      <c r="A412" s="49"/>
      <c r="B412" s="43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</row>
    <row r="413" spans="1:61" ht="15.75" customHeight="1" x14ac:dyDescent="0.5">
      <c r="A413" s="49"/>
      <c r="B413" s="43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</row>
    <row r="414" spans="1:61" ht="15.75" customHeight="1" x14ac:dyDescent="0.5">
      <c r="A414" s="49"/>
      <c r="B414" s="43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</row>
    <row r="415" spans="1:61" ht="15.75" customHeight="1" x14ac:dyDescent="0.5">
      <c r="A415" s="49"/>
      <c r="B415" s="43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</row>
    <row r="416" spans="1:61" ht="15.75" customHeight="1" x14ac:dyDescent="0.5">
      <c r="A416" s="49"/>
      <c r="B416" s="43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</row>
    <row r="417" spans="1:61" ht="15.75" customHeight="1" x14ac:dyDescent="0.5">
      <c r="A417" s="49"/>
      <c r="B417" s="43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</row>
    <row r="418" spans="1:61" ht="15.75" customHeight="1" x14ac:dyDescent="0.5">
      <c r="A418" s="49"/>
      <c r="B418" s="43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</row>
    <row r="419" spans="1:61" ht="15.75" customHeight="1" x14ac:dyDescent="0.5">
      <c r="A419" s="49"/>
      <c r="B419" s="43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</row>
    <row r="420" spans="1:61" ht="15.75" customHeight="1" x14ac:dyDescent="0.5">
      <c r="A420" s="49"/>
      <c r="B420" s="43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</row>
    <row r="421" spans="1:61" ht="15.75" customHeight="1" x14ac:dyDescent="0.5">
      <c r="A421" s="49"/>
      <c r="B421" s="43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</row>
    <row r="422" spans="1:61" ht="15.75" customHeight="1" x14ac:dyDescent="0.5">
      <c r="A422" s="49"/>
      <c r="B422" s="43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</row>
    <row r="423" spans="1:61" ht="15.75" customHeight="1" x14ac:dyDescent="0.5">
      <c r="A423" s="49"/>
      <c r="B423" s="43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</row>
    <row r="424" spans="1:61" ht="15.75" customHeight="1" x14ac:dyDescent="0.5">
      <c r="A424" s="49"/>
      <c r="B424" s="43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</row>
    <row r="425" spans="1:61" ht="15.75" customHeight="1" x14ac:dyDescent="0.5">
      <c r="A425" s="49"/>
      <c r="B425" s="43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</row>
    <row r="426" spans="1:61" ht="15.75" customHeight="1" x14ac:dyDescent="0.5">
      <c r="A426" s="49"/>
      <c r="B426" s="43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</row>
    <row r="427" spans="1:61" ht="15.75" customHeight="1" x14ac:dyDescent="0.5">
      <c r="A427" s="49"/>
      <c r="B427" s="43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</row>
    <row r="428" spans="1:61" ht="15.75" customHeight="1" x14ac:dyDescent="0.5">
      <c r="A428" s="49"/>
      <c r="B428" s="43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</row>
    <row r="429" spans="1:61" ht="15.75" customHeight="1" x14ac:dyDescent="0.5">
      <c r="A429" s="49"/>
      <c r="B429" s="43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</row>
    <row r="430" spans="1:61" ht="15.75" customHeight="1" x14ac:dyDescent="0.5">
      <c r="A430" s="49"/>
      <c r="B430" s="43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</row>
    <row r="431" spans="1:61" ht="15.75" customHeight="1" x14ac:dyDescent="0.5">
      <c r="A431" s="49"/>
      <c r="B431" s="43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</row>
    <row r="432" spans="1:61" ht="15.75" customHeight="1" x14ac:dyDescent="0.5">
      <c r="A432" s="49"/>
      <c r="B432" s="43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</row>
    <row r="433" spans="1:61" ht="15.75" customHeight="1" x14ac:dyDescent="0.5">
      <c r="A433" s="49"/>
      <c r="B433" s="43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</row>
    <row r="434" spans="1:61" ht="15.75" customHeight="1" x14ac:dyDescent="0.5">
      <c r="A434" s="49"/>
      <c r="B434" s="43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</row>
    <row r="435" spans="1:61" ht="15.75" customHeight="1" x14ac:dyDescent="0.5">
      <c r="A435" s="49"/>
      <c r="B435" s="43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</row>
    <row r="436" spans="1:61" ht="15.75" customHeight="1" x14ac:dyDescent="0.5">
      <c r="A436" s="49"/>
      <c r="B436" s="43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</row>
    <row r="437" spans="1:61" ht="15.75" customHeight="1" x14ac:dyDescent="0.5">
      <c r="A437" s="49"/>
      <c r="B437" s="43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</row>
    <row r="438" spans="1:61" ht="15.75" customHeight="1" x14ac:dyDescent="0.5">
      <c r="A438" s="49"/>
      <c r="B438" s="43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</row>
    <row r="439" spans="1:61" ht="15.75" customHeight="1" x14ac:dyDescent="0.5">
      <c r="A439" s="49"/>
      <c r="B439" s="43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</row>
    <row r="440" spans="1:61" ht="15.75" customHeight="1" x14ac:dyDescent="0.5">
      <c r="A440" s="49"/>
      <c r="B440" s="43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</row>
    <row r="441" spans="1:61" ht="15.75" customHeight="1" x14ac:dyDescent="0.5">
      <c r="A441" s="49"/>
      <c r="B441" s="43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</row>
    <row r="442" spans="1:61" ht="15.75" customHeight="1" x14ac:dyDescent="0.5">
      <c r="A442" s="49"/>
      <c r="B442" s="43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</row>
    <row r="443" spans="1:61" ht="15.75" customHeight="1" x14ac:dyDescent="0.5">
      <c r="A443" s="49"/>
      <c r="B443" s="43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</row>
    <row r="444" spans="1:61" ht="15.75" customHeight="1" x14ac:dyDescent="0.5">
      <c r="A444" s="49"/>
      <c r="B444" s="43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</row>
    <row r="445" spans="1:61" ht="15.75" customHeight="1" x14ac:dyDescent="0.5">
      <c r="A445" s="49"/>
      <c r="B445" s="43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</row>
    <row r="446" spans="1:61" ht="15.75" customHeight="1" x14ac:dyDescent="0.5">
      <c r="A446" s="49"/>
      <c r="B446" s="43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</row>
    <row r="447" spans="1:61" ht="15.75" customHeight="1" x14ac:dyDescent="0.5">
      <c r="A447" s="49"/>
      <c r="B447" s="43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</row>
    <row r="448" spans="1:61" ht="15.75" customHeight="1" x14ac:dyDescent="0.5">
      <c r="A448" s="49"/>
      <c r="B448" s="43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</row>
    <row r="449" spans="1:61" ht="15.75" customHeight="1" x14ac:dyDescent="0.5">
      <c r="A449" s="49"/>
      <c r="B449" s="43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</row>
    <row r="450" spans="1:61" ht="15.75" customHeight="1" x14ac:dyDescent="0.5">
      <c r="A450" s="49"/>
      <c r="B450" s="43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</row>
    <row r="451" spans="1:61" ht="15.75" customHeight="1" x14ac:dyDescent="0.5">
      <c r="A451" s="49"/>
      <c r="B451" s="43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</row>
    <row r="452" spans="1:61" ht="15.75" customHeight="1" x14ac:dyDescent="0.5">
      <c r="A452" s="49"/>
      <c r="B452" s="43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</row>
    <row r="453" spans="1:61" ht="15.75" customHeight="1" x14ac:dyDescent="0.5">
      <c r="A453" s="49"/>
      <c r="B453" s="43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</row>
    <row r="454" spans="1:61" ht="15.75" customHeight="1" x14ac:dyDescent="0.5">
      <c r="A454" s="49"/>
      <c r="B454" s="43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</row>
    <row r="455" spans="1:61" ht="15.75" customHeight="1" x14ac:dyDescent="0.5">
      <c r="A455" s="49"/>
      <c r="B455" s="43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</row>
    <row r="456" spans="1:61" ht="15.75" customHeight="1" x14ac:dyDescent="0.5">
      <c r="A456" s="49"/>
      <c r="B456" s="43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</row>
    <row r="457" spans="1:61" ht="15.75" customHeight="1" x14ac:dyDescent="0.5">
      <c r="A457" s="49"/>
      <c r="B457" s="43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</row>
    <row r="458" spans="1:61" ht="15.75" customHeight="1" x14ac:dyDescent="0.5">
      <c r="A458" s="49"/>
      <c r="B458" s="43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</row>
    <row r="459" spans="1:61" ht="15.75" customHeight="1" x14ac:dyDescent="0.5">
      <c r="A459" s="49"/>
      <c r="B459" s="43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</row>
    <row r="460" spans="1:61" ht="15.75" customHeight="1" x14ac:dyDescent="0.5">
      <c r="A460" s="49"/>
      <c r="B460" s="43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</row>
    <row r="461" spans="1:61" ht="15.75" customHeight="1" x14ac:dyDescent="0.5">
      <c r="A461" s="49"/>
      <c r="B461" s="43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</row>
    <row r="462" spans="1:61" ht="15.75" customHeight="1" x14ac:dyDescent="0.5">
      <c r="A462" s="49"/>
      <c r="B462" s="43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</row>
    <row r="463" spans="1:61" ht="15.75" customHeight="1" x14ac:dyDescent="0.5">
      <c r="A463" s="49"/>
      <c r="B463" s="43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</row>
    <row r="464" spans="1:61" ht="15.75" customHeight="1" x14ac:dyDescent="0.5">
      <c r="A464" s="49"/>
      <c r="B464" s="43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</row>
    <row r="465" spans="1:61" ht="15.75" customHeight="1" x14ac:dyDescent="0.5">
      <c r="A465" s="49"/>
      <c r="B465" s="43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</row>
    <row r="466" spans="1:61" ht="15.75" customHeight="1" x14ac:dyDescent="0.5">
      <c r="A466" s="49"/>
      <c r="B466" s="43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</row>
    <row r="467" spans="1:61" ht="15.75" customHeight="1" x14ac:dyDescent="0.5">
      <c r="A467" s="49"/>
      <c r="B467" s="43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</row>
    <row r="468" spans="1:61" ht="15.75" customHeight="1" x14ac:dyDescent="0.5">
      <c r="A468" s="49"/>
      <c r="B468" s="43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</row>
    <row r="469" spans="1:61" ht="15.75" customHeight="1" x14ac:dyDescent="0.5">
      <c r="A469" s="49"/>
      <c r="B469" s="43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</row>
    <row r="470" spans="1:61" ht="15.75" customHeight="1" x14ac:dyDescent="0.5">
      <c r="A470" s="49"/>
      <c r="B470" s="43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</row>
    <row r="471" spans="1:61" ht="15.75" customHeight="1" x14ac:dyDescent="0.5">
      <c r="A471" s="49"/>
      <c r="B471" s="43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</row>
    <row r="472" spans="1:61" ht="15.75" customHeight="1" x14ac:dyDescent="0.5">
      <c r="A472" s="49"/>
      <c r="B472" s="43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</row>
    <row r="473" spans="1:61" ht="15.75" customHeight="1" x14ac:dyDescent="0.5">
      <c r="A473" s="49"/>
      <c r="B473" s="43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</row>
    <row r="474" spans="1:61" ht="15.75" customHeight="1" x14ac:dyDescent="0.5">
      <c r="A474" s="49"/>
      <c r="B474" s="43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</row>
    <row r="475" spans="1:61" ht="15.75" customHeight="1" x14ac:dyDescent="0.5">
      <c r="A475" s="49"/>
      <c r="B475" s="43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</row>
    <row r="476" spans="1:61" ht="15.75" customHeight="1" x14ac:dyDescent="0.5">
      <c r="A476" s="49"/>
      <c r="B476" s="43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</row>
    <row r="477" spans="1:61" ht="15.75" customHeight="1" x14ac:dyDescent="0.5">
      <c r="A477" s="49"/>
      <c r="B477" s="43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</row>
    <row r="478" spans="1:61" ht="15.75" customHeight="1" x14ac:dyDescent="0.5">
      <c r="A478" s="49"/>
      <c r="B478" s="43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</row>
    <row r="479" spans="1:61" ht="15.75" customHeight="1" x14ac:dyDescent="0.5">
      <c r="A479" s="49"/>
      <c r="B479" s="43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</row>
    <row r="480" spans="1:61" ht="15.75" customHeight="1" x14ac:dyDescent="0.5">
      <c r="A480" s="49"/>
      <c r="B480" s="43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</row>
    <row r="481" spans="1:61" ht="15.75" customHeight="1" x14ac:dyDescent="0.5">
      <c r="A481" s="49"/>
      <c r="B481" s="43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</row>
    <row r="482" spans="1:61" ht="15.75" customHeight="1" x14ac:dyDescent="0.5">
      <c r="A482" s="49"/>
      <c r="B482" s="43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</row>
    <row r="483" spans="1:61" ht="15.75" customHeight="1" x14ac:dyDescent="0.5">
      <c r="A483" s="49"/>
      <c r="B483" s="43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</row>
    <row r="484" spans="1:61" ht="15.75" customHeight="1" x14ac:dyDescent="0.5">
      <c r="A484" s="49"/>
      <c r="B484" s="43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</row>
    <row r="485" spans="1:61" ht="15.75" customHeight="1" x14ac:dyDescent="0.5">
      <c r="A485" s="49"/>
      <c r="B485" s="43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</row>
    <row r="486" spans="1:61" ht="15.75" customHeight="1" x14ac:dyDescent="0.5">
      <c r="A486" s="49"/>
      <c r="B486" s="43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</row>
    <row r="487" spans="1:61" ht="15.75" customHeight="1" x14ac:dyDescent="0.5">
      <c r="A487" s="49"/>
      <c r="B487" s="43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</row>
    <row r="488" spans="1:61" ht="15.75" customHeight="1" x14ac:dyDescent="0.5">
      <c r="A488" s="49"/>
      <c r="B488" s="43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</row>
    <row r="489" spans="1:61" ht="15.75" customHeight="1" x14ac:dyDescent="0.5">
      <c r="A489" s="49"/>
      <c r="B489" s="43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</row>
    <row r="490" spans="1:61" ht="15.75" customHeight="1" x14ac:dyDescent="0.5">
      <c r="A490" s="49"/>
      <c r="B490" s="43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</row>
    <row r="491" spans="1:61" ht="15.75" customHeight="1" x14ac:dyDescent="0.5">
      <c r="A491" s="49"/>
      <c r="B491" s="43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</row>
    <row r="492" spans="1:61" ht="15.75" customHeight="1" x14ac:dyDescent="0.5">
      <c r="A492" s="49"/>
      <c r="B492" s="43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</row>
    <row r="493" spans="1:61" ht="15.75" customHeight="1" x14ac:dyDescent="0.5">
      <c r="A493" s="49"/>
      <c r="B493" s="43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</row>
    <row r="494" spans="1:61" ht="15.75" customHeight="1" x14ac:dyDescent="0.5">
      <c r="A494" s="49"/>
      <c r="B494" s="43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</row>
    <row r="495" spans="1:61" ht="15.75" customHeight="1" x14ac:dyDescent="0.5">
      <c r="A495" s="49"/>
      <c r="B495" s="43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</row>
    <row r="496" spans="1:61" ht="15.75" customHeight="1" x14ac:dyDescent="0.5">
      <c r="A496" s="49"/>
      <c r="B496" s="43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</row>
    <row r="497" spans="1:61" ht="15.75" customHeight="1" x14ac:dyDescent="0.5">
      <c r="A497" s="49"/>
      <c r="B497" s="43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</row>
    <row r="498" spans="1:61" ht="15.75" customHeight="1" x14ac:dyDescent="0.5">
      <c r="A498" s="49"/>
      <c r="B498" s="43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</row>
    <row r="499" spans="1:61" ht="15.75" customHeight="1" x14ac:dyDescent="0.5">
      <c r="A499" s="49"/>
      <c r="B499" s="43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</row>
    <row r="500" spans="1:61" ht="15.75" customHeight="1" x14ac:dyDescent="0.5">
      <c r="A500" s="49"/>
      <c r="B500" s="43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</row>
    <row r="501" spans="1:61" ht="15.75" customHeight="1" x14ac:dyDescent="0.5">
      <c r="A501" s="49"/>
      <c r="B501" s="43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</row>
    <row r="502" spans="1:61" ht="15.75" customHeight="1" x14ac:dyDescent="0.5">
      <c r="A502" s="49"/>
      <c r="B502" s="43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</row>
    <row r="503" spans="1:61" ht="15.75" customHeight="1" x14ac:dyDescent="0.5">
      <c r="A503" s="49"/>
      <c r="B503" s="43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</row>
    <row r="504" spans="1:61" ht="15.75" customHeight="1" x14ac:dyDescent="0.5">
      <c r="A504" s="49"/>
      <c r="B504" s="43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</row>
    <row r="505" spans="1:61" ht="15.75" customHeight="1" x14ac:dyDescent="0.5">
      <c r="A505" s="49"/>
      <c r="B505" s="43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</row>
    <row r="506" spans="1:61" ht="15.75" customHeight="1" x14ac:dyDescent="0.5">
      <c r="A506" s="49"/>
      <c r="B506" s="43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</row>
    <row r="507" spans="1:61" ht="15.75" customHeight="1" x14ac:dyDescent="0.5">
      <c r="A507" s="49"/>
      <c r="B507" s="43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</row>
    <row r="508" spans="1:61" ht="15.75" customHeight="1" x14ac:dyDescent="0.5">
      <c r="A508" s="49"/>
      <c r="B508" s="43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</row>
    <row r="509" spans="1:61" ht="15.75" customHeight="1" x14ac:dyDescent="0.5">
      <c r="A509" s="49"/>
      <c r="B509" s="43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</row>
    <row r="510" spans="1:61" ht="15.75" customHeight="1" x14ac:dyDescent="0.5">
      <c r="A510" s="49"/>
      <c r="B510" s="43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</row>
    <row r="511" spans="1:61" ht="15.75" customHeight="1" x14ac:dyDescent="0.5">
      <c r="A511" s="49"/>
      <c r="B511" s="43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</row>
    <row r="512" spans="1:61" ht="15.75" customHeight="1" x14ac:dyDescent="0.5">
      <c r="A512" s="49"/>
      <c r="B512" s="43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</row>
    <row r="513" spans="1:61" ht="15.75" customHeight="1" x14ac:dyDescent="0.5">
      <c r="A513" s="49"/>
      <c r="B513" s="43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</row>
    <row r="514" spans="1:61" ht="15.75" customHeight="1" x14ac:dyDescent="0.5">
      <c r="A514" s="49"/>
      <c r="B514" s="43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</row>
    <row r="515" spans="1:61" ht="15.75" customHeight="1" x14ac:dyDescent="0.5">
      <c r="A515" s="49"/>
      <c r="B515" s="43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</row>
    <row r="516" spans="1:61" ht="15.75" customHeight="1" x14ac:dyDescent="0.5">
      <c r="A516" s="49"/>
      <c r="B516" s="43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</row>
    <row r="517" spans="1:61" ht="15.75" customHeight="1" x14ac:dyDescent="0.5">
      <c r="A517" s="49"/>
      <c r="B517" s="43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</row>
    <row r="518" spans="1:61" ht="15.75" customHeight="1" x14ac:dyDescent="0.5">
      <c r="A518" s="49"/>
      <c r="B518" s="43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</row>
    <row r="519" spans="1:61" ht="15.75" customHeight="1" x14ac:dyDescent="0.5">
      <c r="A519" s="49"/>
      <c r="B519" s="43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</row>
    <row r="520" spans="1:61" ht="15.75" customHeight="1" x14ac:dyDescent="0.5">
      <c r="A520" s="49"/>
      <c r="B520" s="43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</row>
    <row r="521" spans="1:61" ht="15.75" customHeight="1" x14ac:dyDescent="0.5">
      <c r="A521" s="49"/>
      <c r="B521" s="43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</row>
    <row r="522" spans="1:61" ht="15.75" customHeight="1" x14ac:dyDescent="0.5">
      <c r="A522" s="49"/>
      <c r="B522" s="43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</row>
    <row r="523" spans="1:61" ht="15.75" customHeight="1" x14ac:dyDescent="0.5">
      <c r="A523" s="49"/>
      <c r="B523" s="43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</row>
    <row r="524" spans="1:61" ht="15.75" customHeight="1" x14ac:dyDescent="0.5">
      <c r="A524" s="49"/>
      <c r="B524" s="43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</row>
    <row r="525" spans="1:61" ht="15.75" customHeight="1" x14ac:dyDescent="0.5">
      <c r="A525" s="49"/>
      <c r="B525" s="43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</row>
    <row r="526" spans="1:61" ht="15.75" customHeight="1" x14ac:dyDescent="0.5">
      <c r="A526" s="49"/>
      <c r="B526" s="43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</row>
    <row r="527" spans="1:61" ht="15.75" customHeight="1" x14ac:dyDescent="0.5">
      <c r="A527" s="49"/>
      <c r="B527" s="43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</row>
    <row r="528" spans="1:61" ht="15.75" customHeight="1" x14ac:dyDescent="0.5">
      <c r="A528" s="49"/>
      <c r="B528" s="43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</row>
    <row r="529" spans="1:61" ht="15.75" customHeight="1" x14ac:dyDescent="0.5">
      <c r="A529" s="49"/>
      <c r="B529" s="43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</row>
    <row r="530" spans="1:61" ht="15.75" customHeight="1" x14ac:dyDescent="0.5">
      <c r="A530" s="49"/>
      <c r="B530" s="43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</row>
    <row r="531" spans="1:61" ht="15.75" customHeight="1" x14ac:dyDescent="0.5">
      <c r="A531" s="49"/>
      <c r="B531" s="43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</row>
    <row r="532" spans="1:61" ht="15.75" customHeight="1" x14ac:dyDescent="0.5">
      <c r="A532" s="49"/>
      <c r="B532" s="43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</row>
    <row r="533" spans="1:61" ht="15.75" customHeight="1" x14ac:dyDescent="0.5">
      <c r="A533" s="49"/>
      <c r="B533" s="43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</row>
    <row r="534" spans="1:61" ht="15.75" customHeight="1" x14ac:dyDescent="0.5">
      <c r="A534" s="49"/>
      <c r="B534" s="43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</row>
    <row r="535" spans="1:61" ht="15.75" customHeight="1" x14ac:dyDescent="0.5">
      <c r="A535" s="49"/>
      <c r="B535" s="43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</row>
    <row r="536" spans="1:61" ht="15.75" customHeight="1" x14ac:dyDescent="0.5">
      <c r="A536" s="49"/>
      <c r="B536" s="43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</row>
    <row r="537" spans="1:61" ht="15.75" customHeight="1" x14ac:dyDescent="0.5">
      <c r="A537" s="49"/>
      <c r="B537" s="43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</row>
    <row r="538" spans="1:61" ht="15.75" customHeight="1" x14ac:dyDescent="0.5">
      <c r="A538" s="49"/>
      <c r="B538" s="43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</row>
    <row r="539" spans="1:61" ht="15.75" customHeight="1" x14ac:dyDescent="0.5">
      <c r="A539" s="49"/>
      <c r="B539" s="43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</row>
    <row r="540" spans="1:61" ht="15.75" customHeight="1" x14ac:dyDescent="0.5">
      <c r="A540" s="49"/>
      <c r="B540" s="43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</row>
    <row r="541" spans="1:61" ht="15.75" customHeight="1" x14ac:dyDescent="0.5">
      <c r="A541" s="49"/>
      <c r="B541" s="43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</row>
    <row r="542" spans="1:61" ht="15.75" customHeight="1" x14ac:dyDescent="0.5">
      <c r="A542" s="49"/>
      <c r="B542" s="43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</row>
    <row r="543" spans="1:61" ht="15.75" customHeight="1" x14ac:dyDescent="0.5">
      <c r="A543" s="49"/>
      <c r="B543" s="43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</row>
    <row r="544" spans="1:61" ht="15.75" customHeight="1" x14ac:dyDescent="0.5">
      <c r="A544" s="49"/>
      <c r="B544" s="43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</row>
    <row r="545" spans="1:61" ht="15.75" customHeight="1" x14ac:dyDescent="0.5">
      <c r="A545" s="49"/>
      <c r="B545" s="43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</row>
    <row r="546" spans="1:61" ht="15.75" customHeight="1" x14ac:dyDescent="0.5">
      <c r="A546" s="49"/>
      <c r="B546" s="43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</row>
    <row r="547" spans="1:61" ht="15.75" customHeight="1" x14ac:dyDescent="0.5">
      <c r="A547" s="49"/>
      <c r="B547" s="43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</row>
    <row r="548" spans="1:61" ht="15.75" customHeight="1" x14ac:dyDescent="0.5">
      <c r="A548" s="49"/>
      <c r="B548" s="43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</row>
    <row r="549" spans="1:61" ht="15.75" customHeight="1" x14ac:dyDescent="0.5">
      <c r="A549" s="49"/>
      <c r="B549" s="43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</row>
    <row r="550" spans="1:61" ht="15.75" customHeight="1" x14ac:dyDescent="0.5">
      <c r="A550" s="49"/>
      <c r="B550" s="43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</row>
    <row r="551" spans="1:61" ht="15.75" customHeight="1" x14ac:dyDescent="0.5">
      <c r="A551" s="49"/>
      <c r="B551" s="43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</row>
    <row r="552" spans="1:61" ht="15.75" customHeight="1" x14ac:dyDescent="0.5">
      <c r="A552" s="49"/>
      <c r="B552" s="43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</row>
    <row r="553" spans="1:61" ht="15.75" customHeight="1" x14ac:dyDescent="0.5">
      <c r="A553" s="49"/>
      <c r="B553" s="43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</row>
    <row r="554" spans="1:61" ht="15.75" customHeight="1" x14ac:dyDescent="0.5">
      <c r="A554" s="49"/>
      <c r="B554" s="43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</row>
    <row r="555" spans="1:61" ht="15.75" customHeight="1" x14ac:dyDescent="0.5">
      <c r="A555" s="49"/>
      <c r="B555" s="43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</row>
    <row r="556" spans="1:61" ht="15.75" customHeight="1" x14ac:dyDescent="0.5">
      <c r="A556" s="49"/>
      <c r="B556" s="43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</row>
    <row r="557" spans="1:61" ht="15.75" customHeight="1" x14ac:dyDescent="0.5">
      <c r="A557" s="49"/>
      <c r="B557" s="43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</row>
    <row r="558" spans="1:61" ht="15.75" customHeight="1" x14ac:dyDescent="0.5">
      <c r="A558" s="49"/>
      <c r="B558" s="43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</row>
    <row r="559" spans="1:61" ht="15.75" customHeight="1" x14ac:dyDescent="0.5">
      <c r="A559" s="49"/>
      <c r="B559" s="43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</row>
    <row r="560" spans="1:61" ht="15.75" customHeight="1" x14ac:dyDescent="0.5">
      <c r="A560" s="49"/>
      <c r="B560" s="43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</row>
    <row r="561" spans="1:61" ht="15.75" customHeight="1" x14ac:dyDescent="0.5">
      <c r="A561" s="49"/>
      <c r="B561" s="43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</row>
    <row r="562" spans="1:61" ht="15.75" customHeight="1" x14ac:dyDescent="0.5">
      <c r="A562" s="49"/>
      <c r="B562" s="43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</row>
    <row r="563" spans="1:61" ht="15.75" customHeight="1" x14ac:dyDescent="0.5">
      <c r="A563" s="49"/>
      <c r="B563" s="43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</row>
    <row r="564" spans="1:61" ht="15.75" customHeight="1" x14ac:dyDescent="0.5">
      <c r="A564" s="49"/>
      <c r="B564" s="43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</row>
    <row r="565" spans="1:61" ht="15.75" customHeight="1" x14ac:dyDescent="0.5">
      <c r="A565" s="49"/>
      <c r="B565" s="43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</row>
    <row r="566" spans="1:61" ht="15.75" customHeight="1" x14ac:dyDescent="0.5">
      <c r="A566" s="49"/>
      <c r="B566" s="43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</row>
    <row r="567" spans="1:61" ht="15.75" customHeight="1" x14ac:dyDescent="0.5">
      <c r="A567" s="49"/>
      <c r="B567" s="43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</row>
    <row r="568" spans="1:61" ht="15.75" customHeight="1" x14ac:dyDescent="0.5">
      <c r="A568" s="49"/>
      <c r="B568" s="43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</row>
    <row r="569" spans="1:61" ht="15.75" customHeight="1" x14ac:dyDescent="0.5">
      <c r="A569" s="49"/>
      <c r="B569" s="43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</row>
    <row r="570" spans="1:61" ht="15.75" customHeight="1" x14ac:dyDescent="0.5">
      <c r="A570" s="49"/>
      <c r="B570" s="43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</row>
    <row r="571" spans="1:61" ht="15.75" customHeight="1" x14ac:dyDescent="0.5">
      <c r="A571" s="49"/>
      <c r="B571" s="43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</row>
    <row r="572" spans="1:61" ht="15.75" customHeight="1" x14ac:dyDescent="0.5">
      <c r="A572" s="49"/>
      <c r="B572" s="43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</row>
    <row r="573" spans="1:61" ht="15.75" customHeight="1" x14ac:dyDescent="0.5">
      <c r="A573" s="49"/>
      <c r="B573" s="43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</row>
    <row r="574" spans="1:61" ht="15.75" customHeight="1" x14ac:dyDescent="0.5">
      <c r="A574" s="49"/>
      <c r="B574" s="43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</row>
    <row r="575" spans="1:61" ht="15.75" customHeight="1" x14ac:dyDescent="0.5">
      <c r="A575" s="49"/>
      <c r="B575" s="43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</row>
    <row r="576" spans="1:61" ht="15.75" customHeight="1" x14ac:dyDescent="0.5">
      <c r="A576" s="49"/>
      <c r="B576" s="43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</row>
    <row r="577" spans="1:61" ht="15.75" customHeight="1" x14ac:dyDescent="0.5">
      <c r="A577" s="49"/>
      <c r="B577" s="43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</row>
    <row r="578" spans="1:61" ht="15.75" customHeight="1" x14ac:dyDescent="0.5">
      <c r="A578" s="49"/>
      <c r="B578" s="43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</row>
    <row r="579" spans="1:61" ht="15.75" customHeight="1" x14ac:dyDescent="0.5">
      <c r="A579" s="49"/>
      <c r="B579" s="43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</row>
    <row r="580" spans="1:61" ht="15.75" customHeight="1" x14ac:dyDescent="0.5">
      <c r="A580" s="49"/>
      <c r="B580" s="43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</row>
    <row r="581" spans="1:61" ht="15.75" customHeight="1" x14ac:dyDescent="0.5">
      <c r="A581" s="49"/>
      <c r="B581" s="43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</row>
    <row r="582" spans="1:61" ht="15.75" customHeight="1" x14ac:dyDescent="0.5">
      <c r="A582" s="49"/>
      <c r="B582" s="43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</row>
    <row r="583" spans="1:61" ht="15.75" customHeight="1" x14ac:dyDescent="0.5">
      <c r="A583" s="49"/>
      <c r="B583" s="43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</row>
    <row r="584" spans="1:61" ht="15.75" customHeight="1" x14ac:dyDescent="0.5">
      <c r="A584" s="49"/>
      <c r="B584" s="43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</row>
    <row r="585" spans="1:61" ht="15.75" customHeight="1" x14ac:dyDescent="0.5">
      <c r="A585" s="49"/>
      <c r="B585" s="43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</row>
    <row r="586" spans="1:61" ht="15.75" customHeight="1" x14ac:dyDescent="0.5">
      <c r="A586" s="49"/>
      <c r="B586" s="43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</row>
    <row r="587" spans="1:61" ht="15.75" customHeight="1" x14ac:dyDescent="0.5">
      <c r="A587" s="49"/>
      <c r="B587" s="43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</row>
    <row r="588" spans="1:61" ht="15.75" customHeight="1" x14ac:dyDescent="0.5">
      <c r="A588" s="49"/>
      <c r="B588" s="43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</row>
    <row r="589" spans="1:61" ht="15.75" customHeight="1" x14ac:dyDescent="0.5">
      <c r="A589" s="49"/>
      <c r="B589" s="43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</row>
    <row r="590" spans="1:61" ht="15.75" customHeight="1" x14ac:dyDescent="0.5">
      <c r="A590" s="49"/>
      <c r="B590" s="43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</row>
    <row r="591" spans="1:61" ht="15.75" customHeight="1" x14ac:dyDescent="0.5">
      <c r="A591" s="49"/>
      <c r="B591" s="43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</row>
    <row r="592" spans="1:61" ht="15.75" customHeight="1" x14ac:dyDescent="0.5">
      <c r="A592" s="49"/>
      <c r="B592" s="43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</row>
    <row r="593" spans="1:61" ht="15.75" customHeight="1" x14ac:dyDescent="0.5">
      <c r="A593" s="49"/>
      <c r="B593" s="43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</row>
    <row r="594" spans="1:61" ht="15.75" customHeight="1" x14ac:dyDescent="0.5">
      <c r="A594" s="49"/>
      <c r="B594" s="43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</row>
    <row r="595" spans="1:61" ht="15.75" customHeight="1" x14ac:dyDescent="0.5">
      <c r="A595" s="49"/>
      <c r="B595" s="43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</row>
    <row r="596" spans="1:61" ht="15.75" customHeight="1" x14ac:dyDescent="0.5">
      <c r="A596" s="49"/>
      <c r="B596" s="43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</row>
    <row r="597" spans="1:61" ht="15.75" customHeight="1" x14ac:dyDescent="0.5">
      <c r="A597" s="49"/>
      <c r="B597" s="43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</row>
    <row r="598" spans="1:61" ht="15.75" customHeight="1" x14ac:dyDescent="0.5">
      <c r="A598" s="49"/>
      <c r="B598" s="43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</row>
    <row r="599" spans="1:61" ht="15.75" customHeight="1" x14ac:dyDescent="0.5">
      <c r="A599" s="49"/>
      <c r="B599" s="43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</row>
    <row r="600" spans="1:61" ht="15.75" customHeight="1" x14ac:dyDescent="0.5">
      <c r="A600" s="49"/>
      <c r="B600" s="43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</row>
    <row r="601" spans="1:61" ht="15.75" customHeight="1" x14ac:dyDescent="0.5">
      <c r="A601" s="49"/>
      <c r="B601" s="43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</row>
    <row r="602" spans="1:61" ht="15.75" customHeight="1" x14ac:dyDescent="0.5">
      <c r="A602" s="49"/>
      <c r="B602" s="43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</row>
    <row r="603" spans="1:61" ht="15.75" customHeight="1" x14ac:dyDescent="0.5">
      <c r="A603" s="49"/>
      <c r="B603" s="43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</row>
    <row r="604" spans="1:61" ht="15.75" customHeight="1" x14ac:dyDescent="0.5">
      <c r="A604" s="49"/>
      <c r="B604" s="43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</row>
    <row r="605" spans="1:61" ht="15.75" customHeight="1" x14ac:dyDescent="0.5">
      <c r="A605" s="49"/>
      <c r="B605" s="43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</row>
    <row r="606" spans="1:61" ht="15.75" customHeight="1" x14ac:dyDescent="0.5">
      <c r="A606" s="49"/>
      <c r="B606" s="43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</row>
    <row r="607" spans="1:61" ht="15.75" customHeight="1" x14ac:dyDescent="0.5">
      <c r="A607" s="49"/>
      <c r="B607" s="43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</row>
    <row r="608" spans="1:61" ht="15.75" customHeight="1" x14ac:dyDescent="0.5">
      <c r="A608" s="49"/>
      <c r="B608" s="43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</row>
    <row r="609" spans="1:61" ht="15.75" customHeight="1" x14ac:dyDescent="0.5">
      <c r="A609" s="49"/>
      <c r="B609" s="43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</row>
    <row r="610" spans="1:61" ht="15.75" customHeight="1" x14ac:dyDescent="0.5">
      <c r="A610" s="49"/>
      <c r="B610" s="43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</row>
    <row r="611" spans="1:61" ht="15.75" customHeight="1" x14ac:dyDescent="0.5">
      <c r="A611" s="49"/>
      <c r="B611" s="43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</row>
    <row r="612" spans="1:61" ht="15.75" customHeight="1" x14ac:dyDescent="0.5">
      <c r="A612" s="49"/>
      <c r="B612" s="43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</row>
    <row r="613" spans="1:61" ht="15.75" customHeight="1" x14ac:dyDescent="0.5">
      <c r="A613" s="49"/>
      <c r="B613" s="43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</row>
    <row r="614" spans="1:61" ht="15.75" customHeight="1" x14ac:dyDescent="0.5">
      <c r="A614" s="49"/>
      <c r="B614" s="43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</row>
    <row r="615" spans="1:61" ht="15.75" customHeight="1" x14ac:dyDescent="0.5">
      <c r="A615" s="49"/>
      <c r="B615" s="43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</row>
    <row r="616" spans="1:61" ht="15.75" customHeight="1" x14ac:dyDescent="0.5">
      <c r="A616" s="49"/>
      <c r="B616" s="43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</row>
    <row r="617" spans="1:61" ht="15.75" customHeight="1" x14ac:dyDescent="0.5">
      <c r="A617" s="49"/>
      <c r="B617" s="43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</row>
    <row r="618" spans="1:61" ht="15.75" customHeight="1" x14ac:dyDescent="0.5">
      <c r="A618" s="49"/>
      <c r="B618" s="43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</row>
    <row r="619" spans="1:61" ht="15.75" customHeight="1" x14ac:dyDescent="0.5">
      <c r="A619" s="49"/>
      <c r="B619" s="43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</row>
    <row r="620" spans="1:61" ht="15.75" customHeight="1" x14ac:dyDescent="0.5">
      <c r="A620" s="49"/>
      <c r="B620" s="43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</row>
    <row r="621" spans="1:61" ht="15.75" customHeight="1" x14ac:dyDescent="0.5">
      <c r="A621" s="49"/>
      <c r="B621" s="43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</row>
    <row r="622" spans="1:61" ht="15.75" customHeight="1" x14ac:dyDescent="0.5">
      <c r="A622" s="49"/>
      <c r="B622" s="43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</row>
    <row r="623" spans="1:61" ht="15.75" customHeight="1" x14ac:dyDescent="0.5">
      <c r="A623" s="49"/>
      <c r="B623" s="43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</row>
    <row r="624" spans="1:61" ht="15.75" customHeight="1" x14ac:dyDescent="0.5">
      <c r="A624" s="49"/>
      <c r="B624" s="43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</row>
    <row r="625" spans="1:61" ht="15.75" customHeight="1" x14ac:dyDescent="0.5">
      <c r="A625" s="49"/>
      <c r="B625" s="43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</row>
    <row r="626" spans="1:61" ht="15.75" customHeight="1" x14ac:dyDescent="0.5">
      <c r="A626" s="49"/>
      <c r="B626" s="43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</row>
    <row r="627" spans="1:61" ht="15.75" customHeight="1" x14ac:dyDescent="0.5">
      <c r="A627" s="49"/>
      <c r="B627" s="43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</row>
    <row r="628" spans="1:61" ht="15.75" customHeight="1" x14ac:dyDescent="0.5">
      <c r="A628" s="49"/>
      <c r="B628" s="43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</row>
    <row r="629" spans="1:61" ht="15.75" customHeight="1" x14ac:dyDescent="0.5">
      <c r="A629" s="49"/>
      <c r="B629" s="43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  <c r="AC629" s="43"/>
      <c r="AD629" s="43"/>
      <c r="AE629" s="43"/>
      <c r="AF629" s="43"/>
      <c r="AG629" s="43"/>
      <c r="AH629" s="43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</row>
    <row r="630" spans="1:61" ht="15.75" customHeight="1" x14ac:dyDescent="0.5">
      <c r="A630" s="49"/>
      <c r="B630" s="43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  <c r="AC630" s="43"/>
      <c r="AD630" s="43"/>
      <c r="AE630" s="43"/>
      <c r="AF630" s="43"/>
      <c r="AG630" s="43"/>
      <c r="AH630" s="43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</row>
    <row r="631" spans="1:61" ht="15.75" customHeight="1" x14ac:dyDescent="0.5">
      <c r="A631" s="49"/>
      <c r="B631" s="43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  <c r="AC631" s="43"/>
      <c r="AD631" s="43"/>
      <c r="AE631" s="43"/>
      <c r="AF631" s="43"/>
      <c r="AG631" s="43"/>
      <c r="AH631" s="43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</row>
    <row r="632" spans="1:61" ht="15.75" customHeight="1" x14ac:dyDescent="0.5">
      <c r="A632" s="49"/>
      <c r="B632" s="43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</row>
    <row r="633" spans="1:61" ht="15.75" customHeight="1" x14ac:dyDescent="0.5">
      <c r="A633" s="49"/>
      <c r="B633" s="43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  <c r="AC633" s="43"/>
      <c r="AD633" s="43"/>
      <c r="AE633" s="43"/>
      <c r="AF633" s="43"/>
      <c r="AG633" s="43"/>
      <c r="AH633" s="43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</row>
    <row r="634" spans="1:61" ht="15.75" customHeight="1" x14ac:dyDescent="0.5">
      <c r="A634" s="49"/>
      <c r="B634" s="43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</row>
    <row r="635" spans="1:61" ht="15.75" customHeight="1" x14ac:dyDescent="0.5">
      <c r="A635" s="49"/>
      <c r="B635" s="43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  <c r="AC635" s="43"/>
      <c r="AD635" s="43"/>
      <c r="AE635" s="43"/>
      <c r="AF635" s="43"/>
      <c r="AG635" s="43"/>
      <c r="AH635" s="43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</row>
    <row r="636" spans="1:61" ht="15.75" customHeight="1" x14ac:dyDescent="0.5">
      <c r="A636" s="49"/>
      <c r="B636" s="43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43"/>
      <c r="AE636" s="43"/>
      <c r="AF636" s="43"/>
      <c r="AG636" s="43"/>
      <c r="AH636" s="43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</row>
    <row r="637" spans="1:61" ht="15.75" customHeight="1" x14ac:dyDescent="0.5">
      <c r="A637" s="49"/>
      <c r="B637" s="43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  <c r="AC637" s="43"/>
      <c r="AD637" s="43"/>
      <c r="AE637" s="43"/>
      <c r="AF637" s="43"/>
      <c r="AG637" s="43"/>
      <c r="AH637" s="43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</row>
    <row r="638" spans="1:61" ht="15.75" customHeight="1" x14ac:dyDescent="0.5">
      <c r="A638" s="49"/>
      <c r="B638" s="43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  <c r="AC638" s="43"/>
      <c r="AD638" s="43"/>
      <c r="AE638" s="43"/>
      <c r="AF638" s="43"/>
      <c r="AG638" s="43"/>
      <c r="AH638" s="43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</row>
    <row r="639" spans="1:61" ht="15.75" customHeight="1" x14ac:dyDescent="0.5">
      <c r="A639" s="49"/>
      <c r="B639" s="43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43"/>
      <c r="AE639" s="43"/>
      <c r="AF639" s="43"/>
      <c r="AG639" s="43"/>
      <c r="AH639" s="43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</row>
    <row r="640" spans="1:61" ht="15.75" customHeight="1" x14ac:dyDescent="0.5">
      <c r="A640" s="49"/>
      <c r="B640" s="43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  <c r="AC640" s="43"/>
      <c r="AD640" s="43"/>
      <c r="AE640" s="43"/>
      <c r="AF640" s="43"/>
      <c r="AG640" s="43"/>
      <c r="AH640" s="43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</row>
    <row r="641" spans="1:61" ht="15.75" customHeight="1" x14ac:dyDescent="0.5">
      <c r="A641" s="49"/>
      <c r="B641" s="43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</row>
    <row r="642" spans="1:61" ht="15.75" customHeight="1" x14ac:dyDescent="0.5">
      <c r="A642" s="49"/>
      <c r="B642" s="43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</row>
    <row r="643" spans="1:61" ht="15.75" customHeight="1" x14ac:dyDescent="0.5">
      <c r="A643" s="49"/>
      <c r="B643" s="43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</row>
    <row r="644" spans="1:61" ht="15.75" customHeight="1" x14ac:dyDescent="0.5">
      <c r="A644" s="49"/>
      <c r="B644" s="43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</row>
    <row r="645" spans="1:61" ht="15.75" customHeight="1" x14ac:dyDescent="0.5">
      <c r="A645" s="49"/>
      <c r="B645" s="43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</row>
    <row r="646" spans="1:61" ht="15.75" customHeight="1" x14ac:dyDescent="0.5">
      <c r="A646" s="49"/>
      <c r="B646" s="43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</row>
    <row r="647" spans="1:61" ht="15.75" customHeight="1" x14ac:dyDescent="0.5">
      <c r="A647" s="49"/>
      <c r="B647" s="43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</row>
    <row r="648" spans="1:61" ht="15.75" customHeight="1" x14ac:dyDescent="0.5">
      <c r="A648" s="49"/>
      <c r="B648" s="43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</row>
    <row r="649" spans="1:61" ht="15.75" customHeight="1" x14ac:dyDescent="0.5">
      <c r="A649" s="49"/>
      <c r="B649" s="43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</row>
    <row r="650" spans="1:61" ht="15.75" customHeight="1" x14ac:dyDescent="0.5">
      <c r="A650" s="49"/>
      <c r="B650" s="43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</row>
    <row r="651" spans="1:61" ht="15.75" customHeight="1" x14ac:dyDescent="0.5">
      <c r="A651" s="49"/>
      <c r="B651" s="43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</row>
    <row r="652" spans="1:61" ht="15.75" customHeight="1" x14ac:dyDescent="0.5">
      <c r="A652" s="49"/>
      <c r="B652" s="43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</row>
    <row r="653" spans="1:61" ht="15.75" customHeight="1" x14ac:dyDescent="0.5">
      <c r="A653" s="49"/>
      <c r="B653" s="43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</row>
    <row r="654" spans="1:61" ht="15.75" customHeight="1" x14ac:dyDescent="0.5">
      <c r="A654" s="49"/>
      <c r="B654" s="43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  <c r="AC654" s="43"/>
      <c r="AD654" s="43"/>
      <c r="AE654" s="43"/>
      <c r="AF654" s="43"/>
      <c r="AG654" s="43"/>
      <c r="AH654" s="43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</row>
    <row r="655" spans="1:61" ht="15.75" customHeight="1" x14ac:dyDescent="0.5">
      <c r="A655" s="49"/>
      <c r="B655" s="43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</row>
    <row r="656" spans="1:61" ht="15.75" customHeight="1" x14ac:dyDescent="0.5">
      <c r="A656" s="49"/>
      <c r="B656" s="43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</row>
    <row r="657" spans="1:61" ht="15.75" customHeight="1" x14ac:dyDescent="0.5">
      <c r="A657" s="49"/>
      <c r="B657" s="43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</row>
    <row r="658" spans="1:61" ht="15.75" customHeight="1" x14ac:dyDescent="0.5">
      <c r="A658" s="49"/>
      <c r="B658" s="43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</row>
    <row r="659" spans="1:61" ht="15.75" customHeight="1" x14ac:dyDescent="0.5">
      <c r="A659" s="49"/>
      <c r="B659" s="43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</row>
    <row r="660" spans="1:61" ht="15.75" customHeight="1" x14ac:dyDescent="0.5">
      <c r="A660" s="49"/>
      <c r="B660" s="43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</row>
    <row r="661" spans="1:61" ht="15.75" customHeight="1" x14ac:dyDescent="0.5">
      <c r="A661" s="49"/>
      <c r="B661" s="43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</row>
    <row r="662" spans="1:61" ht="15.75" customHeight="1" x14ac:dyDescent="0.5">
      <c r="A662" s="49"/>
      <c r="B662" s="43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</row>
    <row r="663" spans="1:61" ht="15.75" customHeight="1" x14ac:dyDescent="0.5">
      <c r="A663" s="49"/>
      <c r="B663" s="43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</row>
    <row r="664" spans="1:61" ht="15.75" customHeight="1" x14ac:dyDescent="0.5">
      <c r="A664" s="49"/>
      <c r="B664" s="43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</row>
    <row r="665" spans="1:61" ht="15.75" customHeight="1" x14ac:dyDescent="0.5">
      <c r="A665" s="49"/>
      <c r="B665" s="43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</row>
    <row r="666" spans="1:61" ht="15.75" customHeight="1" x14ac:dyDescent="0.5">
      <c r="A666" s="49"/>
      <c r="B666" s="43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</row>
    <row r="667" spans="1:61" ht="15.75" customHeight="1" x14ac:dyDescent="0.5">
      <c r="A667" s="49"/>
      <c r="B667" s="43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</row>
    <row r="668" spans="1:61" ht="15.75" customHeight="1" x14ac:dyDescent="0.5">
      <c r="A668" s="49"/>
      <c r="B668" s="43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</row>
    <row r="669" spans="1:61" ht="15.75" customHeight="1" x14ac:dyDescent="0.5">
      <c r="A669" s="49"/>
      <c r="B669" s="43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</row>
    <row r="670" spans="1:61" ht="15.75" customHeight="1" x14ac:dyDescent="0.5">
      <c r="A670" s="49"/>
      <c r="B670" s="43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</row>
    <row r="671" spans="1:61" ht="15.75" customHeight="1" x14ac:dyDescent="0.5">
      <c r="A671" s="49"/>
      <c r="B671" s="43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</row>
    <row r="672" spans="1:61" ht="15.75" customHeight="1" x14ac:dyDescent="0.5">
      <c r="A672" s="49"/>
      <c r="B672" s="43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</row>
    <row r="673" spans="1:61" ht="15.75" customHeight="1" x14ac:dyDescent="0.5">
      <c r="A673" s="49"/>
      <c r="B673" s="43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</row>
    <row r="674" spans="1:61" ht="15.75" customHeight="1" x14ac:dyDescent="0.5">
      <c r="A674" s="49"/>
      <c r="B674" s="43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</row>
    <row r="675" spans="1:61" ht="15.75" customHeight="1" x14ac:dyDescent="0.5">
      <c r="A675" s="49"/>
      <c r="B675" s="43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</row>
    <row r="676" spans="1:61" ht="15.75" customHeight="1" x14ac:dyDescent="0.5">
      <c r="A676" s="49"/>
      <c r="B676" s="43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</row>
    <row r="677" spans="1:61" ht="15.75" customHeight="1" x14ac:dyDescent="0.5">
      <c r="A677" s="49"/>
      <c r="B677" s="43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</row>
    <row r="678" spans="1:61" ht="15.75" customHeight="1" x14ac:dyDescent="0.5">
      <c r="A678" s="49"/>
      <c r="B678" s="43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</row>
    <row r="679" spans="1:61" ht="15.75" customHeight="1" x14ac:dyDescent="0.5">
      <c r="A679" s="49"/>
      <c r="B679" s="43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</row>
    <row r="680" spans="1:61" ht="15.75" customHeight="1" x14ac:dyDescent="0.5">
      <c r="A680" s="49"/>
      <c r="B680" s="43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</row>
    <row r="681" spans="1:61" ht="15.75" customHeight="1" x14ac:dyDescent="0.5">
      <c r="A681" s="49"/>
      <c r="B681" s="43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</row>
    <row r="682" spans="1:61" ht="15.75" customHeight="1" x14ac:dyDescent="0.5">
      <c r="A682" s="49"/>
      <c r="B682" s="43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</row>
    <row r="683" spans="1:61" ht="15.75" customHeight="1" x14ac:dyDescent="0.5">
      <c r="A683" s="49"/>
      <c r="B683" s="43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</row>
    <row r="684" spans="1:61" ht="15.75" customHeight="1" x14ac:dyDescent="0.5">
      <c r="A684" s="49"/>
      <c r="B684" s="43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</row>
    <row r="685" spans="1:61" ht="15.75" customHeight="1" x14ac:dyDescent="0.5">
      <c r="A685" s="49"/>
      <c r="B685" s="43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</row>
    <row r="686" spans="1:61" ht="15.75" customHeight="1" x14ac:dyDescent="0.5">
      <c r="A686" s="49"/>
      <c r="B686" s="43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</row>
    <row r="687" spans="1:61" ht="15.75" customHeight="1" x14ac:dyDescent="0.5">
      <c r="A687" s="49"/>
      <c r="B687" s="43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</row>
    <row r="688" spans="1:61" ht="15.75" customHeight="1" x14ac:dyDescent="0.5">
      <c r="A688" s="49"/>
      <c r="B688" s="43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</row>
    <row r="689" spans="1:61" ht="15.75" customHeight="1" x14ac:dyDescent="0.5">
      <c r="A689" s="49"/>
      <c r="B689" s="43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</row>
    <row r="690" spans="1:61" ht="15.75" customHeight="1" x14ac:dyDescent="0.5">
      <c r="A690" s="49"/>
      <c r="B690" s="43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</row>
    <row r="691" spans="1:61" ht="15.75" customHeight="1" x14ac:dyDescent="0.5">
      <c r="A691" s="49"/>
      <c r="B691" s="43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</row>
    <row r="692" spans="1:61" ht="15.75" customHeight="1" x14ac:dyDescent="0.5">
      <c r="A692" s="49"/>
      <c r="B692" s="43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</row>
    <row r="693" spans="1:61" ht="15.75" customHeight="1" x14ac:dyDescent="0.5">
      <c r="A693" s="49"/>
      <c r="B693" s="43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</row>
    <row r="694" spans="1:61" ht="15.75" customHeight="1" x14ac:dyDescent="0.5">
      <c r="A694" s="49"/>
      <c r="B694" s="43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43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43"/>
      <c r="AC694" s="43"/>
      <c r="AD694" s="43"/>
      <c r="AE694" s="43"/>
      <c r="AF694" s="43"/>
      <c r="AG694" s="43"/>
      <c r="AH694" s="43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</row>
    <row r="695" spans="1:61" ht="15.75" customHeight="1" x14ac:dyDescent="0.5">
      <c r="A695" s="49"/>
      <c r="B695" s="43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43"/>
      <c r="R695" s="43"/>
      <c r="S695" s="43"/>
      <c r="T695" s="43"/>
      <c r="U695" s="43"/>
      <c r="V695" s="43"/>
      <c r="W695" s="43"/>
      <c r="X695" s="43"/>
      <c r="Y695" s="43"/>
      <c r="Z695" s="43"/>
      <c r="AA695" s="43"/>
      <c r="AB695" s="43"/>
      <c r="AC695" s="43"/>
      <c r="AD695" s="43"/>
      <c r="AE695" s="43"/>
      <c r="AF695" s="43"/>
      <c r="AG695" s="43"/>
      <c r="AH695" s="43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</row>
    <row r="696" spans="1:61" ht="15.75" customHeight="1" x14ac:dyDescent="0.5">
      <c r="A696" s="49"/>
      <c r="B696" s="43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43"/>
      <c r="R696" s="43"/>
      <c r="S696" s="43"/>
      <c r="T696" s="43"/>
      <c r="U696" s="43"/>
      <c r="V696" s="43"/>
      <c r="W696" s="43"/>
      <c r="X696" s="43"/>
      <c r="Y696" s="43"/>
      <c r="Z696" s="43"/>
      <c r="AA696" s="43"/>
      <c r="AB696" s="43"/>
      <c r="AC696" s="43"/>
      <c r="AD696" s="43"/>
      <c r="AE696" s="43"/>
      <c r="AF696" s="43"/>
      <c r="AG696" s="43"/>
      <c r="AH696" s="43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</row>
    <row r="697" spans="1:61" ht="15.75" customHeight="1" x14ac:dyDescent="0.5">
      <c r="A697" s="49"/>
      <c r="B697" s="43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43"/>
      <c r="R697" s="43"/>
      <c r="S697" s="43"/>
      <c r="T697" s="43"/>
      <c r="U697" s="43"/>
      <c r="V697" s="43"/>
      <c r="W697" s="43"/>
      <c r="X697" s="43"/>
      <c r="Y697" s="43"/>
      <c r="Z697" s="43"/>
      <c r="AA697" s="43"/>
      <c r="AB697" s="43"/>
      <c r="AC697" s="43"/>
      <c r="AD697" s="43"/>
      <c r="AE697" s="43"/>
      <c r="AF697" s="43"/>
      <c r="AG697" s="43"/>
      <c r="AH697" s="43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</row>
    <row r="698" spans="1:61" ht="15.75" customHeight="1" x14ac:dyDescent="0.5">
      <c r="A698" s="49"/>
      <c r="B698" s="43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43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43"/>
      <c r="AC698" s="43"/>
      <c r="AD698" s="43"/>
      <c r="AE698" s="43"/>
      <c r="AF698" s="43"/>
      <c r="AG698" s="43"/>
      <c r="AH698" s="43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</row>
    <row r="699" spans="1:61" ht="15.75" customHeight="1" x14ac:dyDescent="0.5">
      <c r="A699" s="49"/>
      <c r="B699" s="43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43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43"/>
      <c r="AC699" s="43"/>
      <c r="AD699" s="43"/>
      <c r="AE699" s="43"/>
      <c r="AF699" s="43"/>
      <c r="AG699" s="43"/>
      <c r="AH699" s="43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</row>
    <row r="700" spans="1:61" ht="15.75" customHeight="1" x14ac:dyDescent="0.5">
      <c r="A700" s="49"/>
      <c r="B700" s="43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43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43"/>
      <c r="AC700" s="43"/>
      <c r="AD700" s="43"/>
      <c r="AE700" s="43"/>
      <c r="AF700" s="43"/>
      <c r="AG700" s="43"/>
      <c r="AH700" s="43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</row>
    <row r="701" spans="1:61" ht="15.75" customHeight="1" x14ac:dyDescent="0.5">
      <c r="A701" s="49"/>
      <c r="B701" s="43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43"/>
      <c r="R701" s="43"/>
      <c r="S701" s="43"/>
      <c r="T701" s="43"/>
      <c r="U701" s="43"/>
      <c r="V701" s="43"/>
      <c r="W701" s="43"/>
      <c r="X701" s="43"/>
      <c r="Y701" s="43"/>
      <c r="Z701" s="43"/>
      <c r="AA701" s="43"/>
      <c r="AB701" s="43"/>
      <c r="AC701" s="43"/>
      <c r="AD701" s="43"/>
      <c r="AE701" s="43"/>
      <c r="AF701" s="43"/>
      <c r="AG701" s="43"/>
      <c r="AH701" s="43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</row>
    <row r="702" spans="1:61" ht="15.75" customHeight="1" x14ac:dyDescent="0.5">
      <c r="A702" s="49"/>
      <c r="B702" s="43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43"/>
      <c r="R702" s="43"/>
      <c r="S702" s="43"/>
      <c r="T702" s="43"/>
      <c r="U702" s="43"/>
      <c r="V702" s="43"/>
      <c r="W702" s="43"/>
      <c r="X702" s="43"/>
      <c r="Y702" s="43"/>
      <c r="Z702" s="43"/>
      <c r="AA702" s="43"/>
      <c r="AB702" s="43"/>
      <c r="AC702" s="43"/>
      <c r="AD702" s="43"/>
      <c r="AE702" s="43"/>
      <c r="AF702" s="43"/>
      <c r="AG702" s="43"/>
      <c r="AH702" s="43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</row>
    <row r="703" spans="1:61" ht="15.75" customHeight="1" x14ac:dyDescent="0.5">
      <c r="A703" s="49"/>
      <c r="B703" s="43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43"/>
      <c r="R703" s="43"/>
      <c r="S703" s="43"/>
      <c r="T703" s="43"/>
      <c r="U703" s="43"/>
      <c r="V703" s="43"/>
      <c r="W703" s="43"/>
      <c r="X703" s="43"/>
      <c r="Y703" s="43"/>
      <c r="Z703" s="43"/>
      <c r="AA703" s="43"/>
      <c r="AB703" s="43"/>
      <c r="AC703" s="43"/>
      <c r="AD703" s="43"/>
      <c r="AE703" s="43"/>
      <c r="AF703" s="43"/>
      <c r="AG703" s="43"/>
      <c r="AH703" s="43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</row>
    <row r="704" spans="1:61" ht="15.75" customHeight="1" x14ac:dyDescent="0.5">
      <c r="A704" s="49"/>
      <c r="B704" s="43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43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43"/>
      <c r="AC704" s="43"/>
      <c r="AD704" s="43"/>
      <c r="AE704" s="43"/>
      <c r="AF704" s="43"/>
      <c r="AG704" s="43"/>
      <c r="AH704" s="43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</row>
    <row r="705" spans="1:61" ht="15.75" customHeight="1" x14ac:dyDescent="0.5">
      <c r="A705" s="49"/>
      <c r="B705" s="43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43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43"/>
      <c r="AC705" s="43"/>
      <c r="AD705" s="43"/>
      <c r="AE705" s="43"/>
      <c r="AF705" s="43"/>
      <c r="AG705" s="43"/>
      <c r="AH705" s="43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</row>
    <row r="706" spans="1:61" ht="15.75" customHeight="1" x14ac:dyDescent="0.5">
      <c r="A706" s="49"/>
      <c r="B706" s="43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43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43"/>
      <c r="AC706" s="43"/>
      <c r="AD706" s="43"/>
      <c r="AE706" s="43"/>
      <c r="AF706" s="43"/>
      <c r="AG706" s="43"/>
      <c r="AH706" s="43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</row>
    <row r="707" spans="1:61" ht="15.75" customHeight="1" x14ac:dyDescent="0.5">
      <c r="A707" s="49"/>
      <c r="B707" s="43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43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43"/>
      <c r="AC707" s="43"/>
      <c r="AD707" s="43"/>
      <c r="AE707" s="43"/>
      <c r="AF707" s="43"/>
      <c r="AG707" s="43"/>
      <c r="AH707" s="43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</row>
    <row r="708" spans="1:61" ht="15.75" customHeight="1" x14ac:dyDescent="0.5">
      <c r="A708" s="49"/>
      <c r="B708" s="43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  <c r="AC708" s="43"/>
      <c r="AD708" s="43"/>
      <c r="AE708" s="43"/>
      <c r="AF708" s="43"/>
      <c r="AG708" s="43"/>
      <c r="AH708" s="43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</row>
    <row r="709" spans="1:61" ht="15.75" customHeight="1" x14ac:dyDescent="0.5">
      <c r="A709" s="49"/>
      <c r="B709" s="43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43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43"/>
      <c r="AC709" s="43"/>
      <c r="AD709" s="43"/>
      <c r="AE709" s="43"/>
      <c r="AF709" s="43"/>
      <c r="AG709" s="43"/>
      <c r="AH709" s="43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</row>
    <row r="710" spans="1:61" ht="15.75" customHeight="1" x14ac:dyDescent="0.5">
      <c r="A710" s="49"/>
      <c r="B710" s="43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43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43"/>
      <c r="AC710" s="43"/>
      <c r="AD710" s="43"/>
      <c r="AE710" s="43"/>
      <c r="AF710" s="43"/>
      <c r="AG710" s="43"/>
      <c r="AH710" s="43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</row>
    <row r="711" spans="1:61" ht="15.75" customHeight="1" x14ac:dyDescent="0.5">
      <c r="A711" s="49"/>
      <c r="B711" s="43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43"/>
      <c r="R711" s="43"/>
      <c r="S711" s="43"/>
      <c r="T711" s="43"/>
      <c r="U711" s="43"/>
      <c r="V711" s="43"/>
      <c r="W711" s="43"/>
      <c r="X711" s="43"/>
      <c r="Y711" s="43"/>
      <c r="Z711" s="43"/>
      <c r="AA711" s="43"/>
      <c r="AB711" s="43"/>
      <c r="AC711" s="43"/>
      <c r="AD711" s="43"/>
      <c r="AE711" s="43"/>
      <c r="AF711" s="43"/>
      <c r="AG711" s="43"/>
      <c r="AH711" s="43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</row>
    <row r="712" spans="1:61" ht="15.75" customHeight="1" x14ac:dyDescent="0.5">
      <c r="A712" s="49"/>
      <c r="B712" s="43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43"/>
      <c r="R712" s="43"/>
      <c r="S712" s="43"/>
      <c r="T712" s="43"/>
      <c r="U712" s="43"/>
      <c r="V712" s="43"/>
      <c r="W712" s="43"/>
      <c r="X712" s="43"/>
      <c r="Y712" s="43"/>
      <c r="Z712" s="43"/>
      <c r="AA712" s="43"/>
      <c r="AB712" s="43"/>
      <c r="AC712" s="43"/>
      <c r="AD712" s="43"/>
      <c r="AE712" s="43"/>
      <c r="AF712" s="43"/>
      <c r="AG712" s="43"/>
      <c r="AH712" s="43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</row>
    <row r="713" spans="1:61" ht="15.75" customHeight="1" x14ac:dyDescent="0.5">
      <c r="A713" s="49"/>
      <c r="B713" s="43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43"/>
      <c r="R713" s="43"/>
      <c r="S713" s="43"/>
      <c r="T713" s="43"/>
      <c r="U713" s="43"/>
      <c r="V713" s="43"/>
      <c r="W713" s="43"/>
      <c r="X713" s="43"/>
      <c r="Y713" s="43"/>
      <c r="Z713" s="43"/>
      <c r="AA713" s="43"/>
      <c r="AB713" s="43"/>
      <c r="AC713" s="43"/>
      <c r="AD713" s="43"/>
      <c r="AE713" s="43"/>
      <c r="AF713" s="43"/>
      <c r="AG713" s="43"/>
      <c r="AH713" s="43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</row>
    <row r="714" spans="1:61" ht="15.75" customHeight="1" x14ac:dyDescent="0.5">
      <c r="A714" s="49"/>
      <c r="B714" s="43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43"/>
      <c r="R714" s="43"/>
      <c r="S714" s="43"/>
      <c r="T714" s="43"/>
      <c r="U714" s="43"/>
      <c r="V714" s="43"/>
      <c r="W714" s="43"/>
      <c r="X714" s="43"/>
      <c r="Y714" s="43"/>
      <c r="Z714" s="43"/>
      <c r="AA714" s="43"/>
      <c r="AB714" s="43"/>
      <c r="AC714" s="43"/>
      <c r="AD714" s="43"/>
      <c r="AE714" s="43"/>
      <c r="AF714" s="43"/>
      <c r="AG714" s="43"/>
      <c r="AH714" s="43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</row>
    <row r="715" spans="1:61" ht="15.75" customHeight="1" x14ac:dyDescent="0.5">
      <c r="A715" s="49"/>
      <c r="B715" s="43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43"/>
      <c r="R715" s="43"/>
      <c r="S715" s="43"/>
      <c r="T715" s="43"/>
      <c r="U715" s="43"/>
      <c r="V715" s="43"/>
      <c r="W715" s="43"/>
      <c r="X715" s="43"/>
      <c r="Y715" s="43"/>
      <c r="Z715" s="43"/>
      <c r="AA715" s="43"/>
      <c r="AB715" s="43"/>
      <c r="AC715" s="43"/>
      <c r="AD715" s="43"/>
      <c r="AE715" s="43"/>
      <c r="AF715" s="43"/>
      <c r="AG715" s="43"/>
      <c r="AH715" s="43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</row>
    <row r="716" spans="1:61" ht="15.75" customHeight="1" x14ac:dyDescent="0.5">
      <c r="A716" s="49"/>
      <c r="B716" s="43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43"/>
      <c r="R716" s="43"/>
      <c r="S716" s="43"/>
      <c r="T716" s="43"/>
      <c r="U716" s="43"/>
      <c r="V716" s="43"/>
      <c r="W716" s="43"/>
      <c r="X716" s="43"/>
      <c r="Y716" s="43"/>
      <c r="Z716" s="43"/>
      <c r="AA716" s="43"/>
      <c r="AB716" s="43"/>
      <c r="AC716" s="43"/>
      <c r="AD716" s="43"/>
      <c r="AE716" s="43"/>
      <c r="AF716" s="43"/>
      <c r="AG716" s="43"/>
      <c r="AH716" s="43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</row>
    <row r="717" spans="1:61" ht="15.75" customHeight="1" x14ac:dyDescent="0.5">
      <c r="A717" s="49"/>
      <c r="B717" s="43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43"/>
      <c r="R717" s="43"/>
      <c r="S717" s="43"/>
      <c r="T717" s="43"/>
      <c r="U717" s="43"/>
      <c r="V717" s="43"/>
      <c r="W717" s="43"/>
      <c r="X717" s="43"/>
      <c r="Y717" s="43"/>
      <c r="Z717" s="43"/>
      <c r="AA717" s="43"/>
      <c r="AB717" s="43"/>
      <c r="AC717" s="43"/>
      <c r="AD717" s="43"/>
      <c r="AE717" s="43"/>
      <c r="AF717" s="43"/>
      <c r="AG717" s="43"/>
      <c r="AH717" s="43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</row>
    <row r="718" spans="1:61" ht="15.75" customHeight="1" x14ac:dyDescent="0.5">
      <c r="A718" s="49"/>
      <c r="B718" s="43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43"/>
      <c r="R718" s="43"/>
      <c r="S718" s="43"/>
      <c r="T718" s="43"/>
      <c r="U718" s="43"/>
      <c r="V718" s="43"/>
      <c r="W718" s="43"/>
      <c r="X718" s="43"/>
      <c r="Y718" s="43"/>
      <c r="Z718" s="43"/>
      <c r="AA718" s="43"/>
      <c r="AB718" s="43"/>
      <c r="AC718" s="43"/>
      <c r="AD718" s="43"/>
      <c r="AE718" s="43"/>
      <c r="AF718" s="43"/>
      <c r="AG718" s="43"/>
      <c r="AH718" s="43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</row>
    <row r="719" spans="1:61" ht="15.75" customHeight="1" x14ac:dyDescent="0.5">
      <c r="A719" s="49"/>
      <c r="B719" s="43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43"/>
      <c r="R719" s="43"/>
      <c r="S719" s="43"/>
      <c r="T719" s="43"/>
      <c r="U719" s="43"/>
      <c r="V719" s="43"/>
      <c r="W719" s="43"/>
      <c r="X719" s="43"/>
      <c r="Y719" s="43"/>
      <c r="Z719" s="43"/>
      <c r="AA719" s="43"/>
      <c r="AB719" s="43"/>
      <c r="AC719" s="43"/>
      <c r="AD719" s="43"/>
      <c r="AE719" s="43"/>
      <c r="AF719" s="43"/>
      <c r="AG719" s="43"/>
      <c r="AH719" s="43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</row>
    <row r="720" spans="1:61" ht="15.75" customHeight="1" x14ac:dyDescent="0.5">
      <c r="A720" s="49"/>
      <c r="B720" s="43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43"/>
      <c r="R720" s="43"/>
      <c r="S720" s="43"/>
      <c r="T720" s="43"/>
      <c r="U720" s="43"/>
      <c r="V720" s="43"/>
      <c r="W720" s="43"/>
      <c r="X720" s="43"/>
      <c r="Y720" s="43"/>
      <c r="Z720" s="43"/>
      <c r="AA720" s="43"/>
      <c r="AB720" s="43"/>
      <c r="AC720" s="43"/>
      <c r="AD720" s="43"/>
      <c r="AE720" s="43"/>
      <c r="AF720" s="43"/>
      <c r="AG720" s="43"/>
      <c r="AH720" s="43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</row>
    <row r="721" spans="1:61" ht="15.75" customHeight="1" x14ac:dyDescent="0.5">
      <c r="A721" s="49"/>
      <c r="B721" s="43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</row>
    <row r="722" spans="1:61" ht="15.75" customHeight="1" x14ac:dyDescent="0.5">
      <c r="A722" s="49"/>
      <c r="B722" s="43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43"/>
      <c r="AE722" s="43"/>
      <c r="AF722" s="43"/>
      <c r="AG722" s="43"/>
      <c r="AH722" s="43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</row>
    <row r="723" spans="1:61" ht="15.75" customHeight="1" x14ac:dyDescent="0.5">
      <c r="A723" s="49"/>
      <c r="B723" s="43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</row>
    <row r="724" spans="1:61" ht="15.75" customHeight="1" x14ac:dyDescent="0.5">
      <c r="A724" s="49"/>
      <c r="B724" s="43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43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43"/>
      <c r="AC724" s="43"/>
      <c r="AD724" s="43"/>
      <c r="AE724" s="43"/>
      <c r="AF724" s="43"/>
      <c r="AG724" s="43"/>
      <c r="AH724" s="43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</row>
    <row r="725" spans="1:61" ht="15.75" customHeight="1" x14ac:dyDescent="0.5">
      <c r="A725" s="49"/>
      <c r="B725" s="43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43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43"/>
      <c r="AC725" s="43"/>
      <c r="AD725" s="43"/>
      <c r="AE725" s="43"/>
      <c r="AF725" s="43"/>
      <c r="AG725" s="43"/>
      <c r="AH725" s="43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</row>
    <row r="726" spans="1:61" ht="15.75" customHeight="1" x14ac:dyDescent="0.5">
      <c r="A726" s="49"/>
      <c r="B726" s="43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43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43"/>
      <c r="AC726" s="43"/>
      <c r="AD726" s="43"/>
      <c r="AE726" s="43"/>
      <c r="AF726" s="43"/>
      <c r="AG726" s="43"/>
      <c r="AH726" s="43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</row>
    <row r="727" spans="1:61" ht="15.75" customHeight="1" x14ac:dyDescent="0.5">
      <c r="A727" s="49"/>
      <c r="B727" s="43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43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43"/>
      <c r="AC727" s="43"/>
      <c r="AD727" s="43"/>
      <c r="AE727" s="43"/>
      <c r="AF727" s="43"/>
      <c r="AG727" s="43"/>
      <c r="AH727" s="43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</row>
    <row r="728" spans="1:61" ht="15.75" customHeight="1" x14ac:dyDescent="0.5">
      <c r="A728" s="49"/>
      <c r="B728" s="43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43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43"/>
      <c r="AC728" s="43"/>
      <c r="AD728" s="43"/>
      <c r="AE728" s="43"/>
      <c r="AF728" s="43"/>
      <c r="AG728" s="43"/>
      <c r="AH728" s="43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</row>
    <row r="729" spans="1:61" ht="15.75" customHeight="1" x14ac:dyDescent="0.5">
      <c r="A729" s="49"/>
      <c r="B729" s="43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43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43"/>
      <c r="AC729" s="43"/>
      <c r="AD729" s="43"/>
      <c r="AE729" s="43"/>
      <c r="AF729" s="43"/>
      <c r="AG729" s="43"/>
      <c r="AH729" s="43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</row>
    <row r="730" spans="1:61" ht="15.75" customHeight="1" x14ac:dyDescent="0.5">
      <c r="A730" s="49"/>
      <c r="B730" s="43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43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43"/>
      <c r="AC730" s="43"/>
      <c r="AD730" s="43"/>
      <c r="AE730" s="43"/>
      <c r="AF730" s="43"/>
      <c r="AG730" s="43"/>
      <c r="AH730" s="43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</row>
    <row r="731" spans="1:61" ht="15.75" customHeight="1" x14ac:dyDescent="0.5">
      <c r="A731" s="49"/>
      <c r="B731" s="43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43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43"/>
      <c r="AC731" s="43"/>
      <c r="AD731" s="43"/>
      <c r="AE731" s="43"/>
      <c r="AF731" s="43"/>
      <c r="AG731" s="43"/>
      <c r="AH731" s="43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</row>
    <row r="732" spans="1:61" ht="15.75" customHeight="1" x14ac:dyDescent="0.5">
      <c r="A732" s="49"/>
      <c r="B732" s="43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43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43"/>
      <c r="AC732" s="43"/>
      <c r="AD732" s="43"/>
      <c r="AE732" s="43"/>
      <c r="AF732" s="43"/>
      <c r="AG732" s="43"/>
      <c r="AH732" s="43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</row>
    <row r="733" spans="1:61" ht="15.75" customHeight="1" x14ac:dyDescent="0.5">
      <c r="A733" s="49"/>
      <c r="B733" s="43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43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43"/>
      <c r="AC733" s="43"/>
      <c r="AD733" s="43"/>
      <c r="AE733" s="43"/>
      <c r="AF733" s="43"/>
      <c r="AG733" s="43"/>
      <c r="AH733" s="43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</row>
    <row r="734" spans="1:61" ht="15.75" customHeight="1" x14ac:dyDescent="0.5">
      <c r="A734" s="49"/>
      <c r="B734" s="43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43"/>
      <c r="R734" s="43"/>
      <c r="S734" s="43"/>
      <c r="T734" s="43"/>
      <c r="U734" s="43"/>
      <c r="V734" s="43"/>
      <c r="W734" s="43"/>
      <c r="X734" s="43"/>
      <c r="Y734" s="43"/>
      <c r="Z734" s="43"/>
      <c r="AA734" s="43"/>
      <c r="AB734" s="43"/>
      <c r="AC734" s="43"/>
      <c r="AD734" s="43"/>
      <c r="AE734" s="43"/>
      <c r="AF734" s="43"/>
      <c r="AG734" s="43"/>
      <c r="AH734" s="43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</row>
    <row r="735" spans="1:61" ht="15.75" customHeight="1" x14ac:dyDescent="0.5">
      <c r="A735" s="49"/>
      <c r="B735" s="43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43"/>
      <c r="R735" s="43"/>
      <c r="S735" s="43"/>
      <c r="T735" s="43"/>
      <c r="U735" s="43"/>
      <c r="V735" s="43"/>
      <c r="W735" s="43"/>
      <c r="X735" s="43"/>
      <c r="Y735" s="43"/>
      <c r="Z735" s="43"/>
      <c r="AA735" s="43"/>
      <c r="AB735" s="43"/>
      <c r="AC735" s="43"/>
      <c r="AD735" s="43"/>
      <c r="AE735" s="43"/>
      <c r="AF735" s="43"/>
      <c r="AG735" s="43"/>
      <c r="AH735" s="43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</row>
    <row r="736" spans="1:61" ht="15.75" customHeight="1" x14ac:dyDescent="0.5">
      <c r="A736" s="49"/>
      <c r="B736" s="43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43"/>
      <c r="R736" s="43"/>
      <c r="S736" s="43"/>
      <c r="T736" s="43"/>
      <c r="U736" s="43"/>
      <c r="V736" s="43"/>
      <c r="W736" s="43"/>
      <c r="X736" s="43"/>
      <c r="Y736" s="43"/>
      <c r="Z736" s="43"/>
      <c r="AA736" s="43"/>
      <c r="AB736" s="43"/>
      <c r="AC736" s="43"/>
      <c r="AD736" s="43"/>
      <c r="AE736" s="43"/>
      <c r="AF736" s="43"/>
      <c r="AG736" s="43"/>
      <c r="AH736" s="43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</row>
    <row r="737" spans="1:61" ht="15.75" customHeight="1" x14ac:dyDescent="0.5">
      <c r="A737" s="49"/>
      <c r="B737" s="43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43"/>
      <c r="R737" s="43"/>
      <c r="S737" s="43"/>
      <c r="T737" s="43"/>
      <c r="U737" s="43"/>
      <c r="V737" s="43"/>
      <c r="W737" s="43"/>
      <c r="X737" s="43"/>
      <c r="Y737" s="43"/>
      <c r="Z737" s="43"/>
      <c r="AA737" s="43"/>
      <c r="AB737" s="43"/>
      <c r="AC737" s="43"/>
      <c r="AD737" s="43"/>
      <c r="AE737" s="43"/>
      <c r="AF737" s="43"/>
      <c r="AG737" s="43"/>
      <c r="AH737" s="43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</row>
    <row r="738" spans="1:61" ht="15.75" customHeight="1" x14ac:dyDescent="0.5">
      <c r="A738" s="49"/>
      <c r="B738" s="43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43"/>
      <c r="R738" s="43"/>
      <c r="S738" s="43"/>
      <c r="T738" s="43"/>
      <c r="U738" s="43"/>
      <c r="V738" s="43"/>
      <c r="W738" s="43"/>
      <c r="X738" s="43"/>
      <c r="Y738" s="43"/>
      <c r="Z738" s="43"/>
      <c r="AA738" s="43"/>
      <c r="AB738" s="43"/>
      <c r="AC738" s="43"/>
      <c r="AD738" s="43"/>
      <c r="AE738" s="43"/>
      <c r="AF738" s="43"/>
      <c r="AG738" s="43"/>
      <c r="AH738" s="43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</row>
    <row r="739" spans="1:61" ht="15.75" customHeight="1" x14ac:dyDescent="0.5">
      <c r="A739" s="49"/>
      <c r="B739" s="43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43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43"/>
      <c r="AC739" s="43"/>
      <c r="AD739" s="43"/>
      <c r="AE739" s="43"/>
      <c r="AF739" s="43"/>
      <c r="AG739" s="43"/>
      <c r="AH739" s="43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</row>
    <row r="740" spans="1:61" ht="15.75" customHeight="1" x14ac:dyDescent="0.5">
      <c r="A740" s="49"/>
      <c r="B740" s="43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43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43"/>
      <c r="AC740" s="43"/>
      <c r="AD740" s="43"/>
      <c r="AE740" s="43"/>
      <c r="AF740" s="43"/>
      <c r="AG740" s="43"/>
      <c r="AH740" s="43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</row>
    <row r="741" spans="1:61" ht="15.75" customHeight="1" x14ac:dyDescent="0.5">
      <c r="A741" s="49"/>
      <c r="B741" s="43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43"/>
      <c r="R741" s="43"/>
      <c r="S741" s="43"/>
      <c r="T741" s="43"/>
      <c r="U741" s="43"/>
      <c r="V741" s="43"/>
      <c r="W741" s="43"/>
      <c r="X741" s="43"/>
      <c r="Y741" s="43"/>
      <c r="Z741" s="43"/>
      <c r="AA741" s="43"/>
      <c r="AB741" s="43"/>
      <c r="AC741" s="43"/>
      <c r="AD741" s="43"/>
      <c r="AE741" s="43"/>
      <c r="AF741" s="43"/>
      <c r="AG741" s="43"/>
      <c r="AH741" s="43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</row>
    <row r="742" spans="1:61" ht="15.75" customHeight="1" x14ac:dyDescent="0.5">
      <c r="A742" s="49"/>
      <c r="B742" s="43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43"/>
      <c r="R742" s="43"/>
      <c r="S742" s="43"/>
      <c r="T742" s="43"/>
      <c r="U742" s="43"/>
      <c r="V742" s="43"/>
      <c r="W742" s="43"/>
      <c r="X742" s="43"/>
      <c r="Y742" s="43"/>
      <c r="Z742" s="43"/>
      <c r="AA742" s="43"/>
      <c r="AB742" s="43"/>
      <c r="AC742" s="43"/>
      <c r="AD742" s="43"/>
      <c r="AE742" s="43"/>
      <c r="AF742" s="43"/>
      <c r="AG742" s="43"/>
      <c r="AH742" s="43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</row>
    <row r="743" spans="1:61" ht="15.75" customHeight="1" x14ac:dyDescent="0.5">
      <c r="A743" s="49"/>
      <c r="B743" s="43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43"/>
      <c r="R743" s="43"/>
      <c r="S743" s="43"/>
      <c r="T743" s="43"/>
      <c r="U743" s="43"/>
      <c r="V743" s="43"/>
      <c r="W743" s="43"/>
      <c r="X743" s="43"/>
      <c r="Y743" s="43"/>
      <c r="Z743" s="43"/>
      <c r="AA743" s="43"/>
      <c r="AB743" s="43"/>
      <c r="AC743" s="43"/>
      <c r="AD743" s="43"/>
      <c r="AE743" s="43"/>
      <c r="AF743" s="43"/>
      <c r="AG743" s="43"/>
      <c r="AH743" s="43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</row>
    <row r="744" spans="1:61" ht="15.75" customHeight="1" x14ac:dyDescent="0.5">
      <c r="A744" s="49"/>
      <c r="B744" s="43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43"/>
      <c r="R744" s="43"/>
      <c r="S744" s="43"/>
      <c r="T744" s="43"/>
      <c r="U744" s="43"/>
      <c r="V744" s="43"/>
      <c r="W744" s="43"/>
      <c r="X744" s="43"/>
      <c r="Y744" s="43"/>
      <c r="Z744" s="43"/>
      <c r="AA744" s="43"/>
      <c r="AB744" s="43"/>
      <c r="AC744" s="43"/>
      <c r="AD744" s="43"/>
      <c r="AE744" s="43"/>
      <c r="AF744" s="43"/>
      <c r="AG744" s="43"/>
      <c r="AH744" s="43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</row>
    <row r="745" spans="1:61" ht="15.75" customHeight="1" x14ac:dyDescent="0.5">
      <c r="A745" s="49"/>
      <c r="B745" s="43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43"/>
      <c r="R745" s="43"/>
      <c r="S745" s="43"/>
      <c r="T745" s="43"/>
      <c r="U745" s="43"/>
      <c r="V745" s="43"/>
      <c r="W745" s="43"/>
      <c r="X745" s="43"/>
      <c r="Y745" s="43"/>
      <c r="Z745" s="43"/>
      <c r="AA745" s="43"/>
      <c r="AB745" s="43"/>
      <c r="AC745" s="43"/>
      <c r="AD745" s="43"/>
      <c r="AE745" s="43"/>
      <c r="AF745" s="43"/>
      <c r="AG745" s="43"/>
      <c r="AH745" s="43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</row>
    <row r="746" spans="1:61" ht="15.75" customHeight="1" x14ac:dyDescent="0.5">
      <c r="A746" s="49"/>
      <c r="B746" s="43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43"/>
      <c r="R746" s="43"/>
      <c r="S746" s="43"/>
      <c r="T746" s="43"/>
      <c r="U746" s="43"/>
      <c r="V746" s="43"/>
      <c r="W746" s="43"/>
      <c r="X746" s="43"/>
      <c r="Y746" s="43"/>
      <c r="Z746" s="43"/>
      <c r="AA746" s="43"/>
      <c r="AB746" s="43"/>
      <c r="AC746" s="43"/>
      <c r="AD746" s="43"/>
      <c r="AE746" s="43"/>
      <c r="AF746" s="43"/>
      <c r="AG746" s="43"/>
      <c r="AH746" s="43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</row>
    <row r="747" spans="1:61" ht="15.75" customHeight="1" x14ac:dyDescent="0.5">
      <c r="A747" s="49"/>
      <c r="B747" s="43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43"/>
      <c r="R747" s="43"/>
      <c r="S747" s="43"/>
      <c r="T747" s="43"/>
      <c r="U747" s="43"/>
      <c r="V747" s="43"/>
      <c r="W747" s="43"/>
      <c r="X747" s="43"/>
      <c r="Y747" s="43"/>
      <c r="Z747" s="43"/>
      <c r="AA747" s="43"/>
      <c r="AB747" s="43"/>
      <c r="AC747" s="43"/>
      <c r="AD747" s="43"/>
      <c r="AE747" s="43"/>
      <c r="AF747" s="43"/>
      <c r="AG747" s="43"/>
      <c r="AH747" s="43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</row>
    <row r="748" spans="1:61" ht="15.75" customHeight="1" x14ac:dyDescent="0.5">
      <c r="A748" s="49"/>
      <c r="B748" s="43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43"/>
      <c r="R748" s="43"/>
      <c r="S748" s="43"/>
      <c r="T748" s="43"/>
      <c r="U748" s="43"/>
      <c r="V748" s="43"/>
      <c r="W748" s="43"/>
      <c r="X748" s="43"/>
      <c r="Y748" s="43"/>
      <c r="Z748" s="43"/>
      <c r="AA748" s="43"/>
      <c r="AB748" s="43"/>
      <c r="AC748" s="43"/>
      <c r="AD748" s="43"/>
      <c r="AE748" s="43"/>
      <c r="AF748" s="43"/>
      <c r="AG748" s="43"/>
      <c r="AH748" s="43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</row>
    <row r="749" spans="1:61" ht="15.75" customHeight="1" x14ac:dyDescent="0.5">
      <c r="A749" s="49"/>
      <c r="B749" s="43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43"/>
      <c r="R749" s="43"/>
      <c r="S749" s="43"/>
      <c r="T749" s="43"/>
      <c r="U749" s="43"/>
      <c r="V749" s="43"/>
      <c r="W749" s="43"/>
      <c r="X749" s="43"/>
      <c r="Y749" s="43"/>
      <c r="Z749" s="43"/>
      <c r="AA749" s="43"/>
      <c r="AB749" s="43"/>
      <c r="AC749" s="43"/>
      <c r="AD749" s="43"/>
      <c r="AE749" s="43"/>
      <c r="AF749" s="43"/>
      <c r="AG749" s="43"/>
      <c r="AH749" s="43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</row>
    <row r="750" spans="1:61" ht="15.75" customHeight="1" x14ac:dyDescent="0.5">
      <c r="A750" s="49"/>
      <c r="B750" s="43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43"/>
      <c r="R750" s="43"/>
      <c r="S750" s="43"/>
      <c r="T750" s="43"/>
      <c r="U750" s="43"/>
      <c r="V750" s="43"/>
      <c r="W750" s="43"/>
      <c r="X750" s="43"/>
      <c r="Y750" s="43"/>
      <c r="Z750" s="43"/>
      <c r="AA750" s="43"/>
      <c r="AB750" s="43"/>
      <c r="AC750" s="43"/>
      <c r="AD750" s="43"/>
      <c r="AE750" s="43"/>
      <c r="AF750" s="43"/>
      <c r="AG750" s="43"/>
      <c r="AH750" s="43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</row>
    <row r="751" spans="1:61" ht="15.75" customHeight="1" x14ac:dyDescent="0.5">
      <c r="A751" s="49"/>
      <c r="B751" s="43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43"/>
      <c r="R751" s="43"/>
      <c r="S751" s="43"/>
      <c r="T751" s="43"/>
      <c r="U751" s="43"/>
      <c r="V751" s="43"/>
      <c r="W751" s="43"/>
      <c r="X751" s="43"/>
      <c r="Y751" s="43"/>
      <c r="Z751" s="43"/>
      <c r="AA751" s="43"/>
      <c r="AB751" s="43"/>
      <c r="AC751" s="43"/>
      <c r="AD751" s="43"/>
      <c r="AE751" s="43"/>
      <c r="AF751" s="43"/>
      <c r="AG751" s="43"/>
      <c r="AH751" s="43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</row>
    <row r="752" spans="1:61" ht="15.75" customHeight="1" x14ac:dyDescent="0.5">
      <c r="A752" s="49"/>
      <c r="B752" s="43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43"/>
      <c r="R752" s="43"/>
      <c r="S752" s="43"/>
      <c r="T752" s="43"/>
      <c r="U752" s="43"/>
      <c r="V752" s="43"/>
      <c r="W752" s="43"/>
      <c r="X752" s="43"/>
      <c r="Y752" s="43"/>
      <c r="Z752" s="43"/>
      <c r="AA752" s="43"/>
      <c r="AB752" s="43"/>
      <c r="AC752" s="43"/>
      <c r="AD752" s="43"/>
      <c r="AE752" s="43"/>
      <c r="AF752" s="43"/>
      <c r="AG752" s="43"/>
      <c r="AH752" s="43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</row>
    <row r="753" spans="1:61" ht="15.75" customHeight="1" x14ac:dyDescent="0.5">
      <c r="A753" s="49"/>
      <c r="B753" s="43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43"/>
      <c r="R753" s="43"/>
      <c r="S753" s="43"/>
      <c r="T753" s="43"/>
      <c r="U753" s="43"/>
      <c r="V753" s="43"/>
      <c r="W753" s="43"/>
      <c r="X753" s="43"/>
      <c r="Y753" s="43"/>
      <c r="Z753" s="43"/>
      <c r="AA753" s="43"/>
      <c r="AB753" s="43"/>
      <c r="AC753" s="43"/>
      <c r="AD753" s="43"/>
      <c r="AE753" s="43"/>
      <c r="AF753" s="43"/>
      <c r="AG753" s="43"/>
      <c r="AH753" s="43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</row>
    <row r="754" spans="1:61" ht="15.75" customHeight="1" x14ac:dyDescent="0.5">
      <c r="A754" s="49"/>
      <c r="B754" s="43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43"/>
      <c r="R754" s="43"/>
      <c r="S754" s="43"/>
      <c r="T754" s="43"/>
      <c r="U754" s="43"/>
      <c r="V754" s="43"/>
      <c r="W754" s="43"/>
      <c r="X754" s="43"/>
      <c r="Y754" s="43"/>
      <c r="Z754" s="43"/>
      <c r="AA754" s="43"/>
      <c r="AB754" s="43"/>
      <c r="AC754" s="43"/>
      <c r="AD754" s="43"/>
      <c r="AE754" s="43"/>
      <c r="AF754" s="43"/>
      <c r="AG754" s="43"/>
      <c r="AH754" s="43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</row>
    <row r="755" spans="1:61" ht="15.75" customHeight="1" x14ac:dyDescent="0.5">
      <c r="A755" s="49"/>
      <c r="B755" s="43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43"/>
      <c r="R755" s="43"/>
      <c r="S755" s="43"/>
      <c r="T755" s="43"/>
      <c r="U755" s="43"/>
      <c r="V755" s="43"/>
      <c r="W755" s="43"/>
      <c r="X755" s="43"/>
      <c r="Y755" s="43"/>
      <c r="Z755" s="43"/>
      <c r="AA755" s="43"/>
      <c r="AB755" s="43"/>
      <c r="AC755" s="43"/>
      <c r="AD755" s="43"/>
      <c r="AE755" s="43"/>
      <c r="AF755" s="43"/>
      <c r="AG755" s="43"/>
      <c r="AH755" s="43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</row>
    <row r="756" spans="1:61" ht="15.75" customHeight="1" x14ac:dyDescent="0.5">
      <c r="A756" s="49"/>
      <c r="B756" s="43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43"/>
      <c r="R756" s="43"/>
      <c r="S756" s="43"/>
      <c r="T756" s="43"/>
      <c r="U756" s="43"/>
      <c r="V756" s="43"/>
      <c r="W756" s="43"/>
      <c r="X756" s="43"/>
      <c r="Y756" s="43"/>
      <c r="Z756" s="43"/>
      <c r="AA756" s="43"/>
      <c r="AB756" s="43"/>
      <c r="AC756" s="43"/>
      <c r="AD756" s="43"/>
      <c r="AE756" s="43"/>
      <c r="AF756" s="43"/>
      <c r="AG756" s="43"/>
      <c r="AH756" s="43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</row>
    <row r="757" spans="1:61" ht="15.75" customHeight="1" x14ac:dyDescent="0.5">
      <c r="A757" s="49"/>
      <c r="B757" s="43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43"/>
      <c r="R757" s="43"/>
      <c r="S757" s="43"/>
      <c r="T757" s="43"/>
      <c r="U757" s="43"/>
      <c r="V757" s="43"/>
      <c r="W757" s="43"/>
      <c r="X757" s="43"/>
      <c r="Y757" s="43"/>
      <c r="Z757" s="43"/>
      <c r="AA757" s="43"/>
      <c r="AB757" s="43"/>
      <c r="AC757" s="43"/>
      <c r="AD757" s="43"/>
      <c r="AE757" s="43"/>
      <c r="AF757" s="43"/>
      <c r="AG757" s="43"/>
      <c r="AH757" s="43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</row>
    <row r="758" spans="1:61" ht="15.75" customHeight="1" x14ac:dyDescent="0.5">
      <c r="A758" s="49"/>
      <c r="B758" s="43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43"/>
      <c r="R758" s="43"/>
      <c r="S758" s="43"/>
      <c r="T758" s="43"/>
      <c r="U758" s="43"/>
      <c r="V758" s="43"/>
      <c r="W758" s="43"/>
      <c r="X758" s="43"/>
      <c r="Y758" s="43"/>
      <c r="Z758" s="43"/>
      <c r="AA758" s="43"/>
      <c r="AB758" s="43"/>
      <c r="AC758" s="43"/>
      <c r="AD758" s="43"/>
      <c r="AE758" s="43"/>
      <c r="AF758" s="43"/>
      <c r="AG758" s="43"/>
      <c r="AH758" s="43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</row>
    <row r="759" spans="1:61" ht="15.75" customHeight="1" x14ac:dyDescent="0.5">
      <c r="A759" s="49"/>
      <c r="B759" s="43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43"/>
      <c r="R759" s="43"/>
      <c r="S759" s="43"/>
      <c r="T759" s="43"/>
      <c r="U759" s="43"/>
      <c r="V759" s="43"/>
      <c r="W759" s="43"/>
      <c r="X759" s="43"/>
      <c r="Y759" s="43"/>
      <c r="Z759" s="43"/>
      <c r="AA759" s="43"/>
      <c r="AB759" s="43"/>
      <c r="AC759" s="43"/>
      <c r="AD759" s="43"/>
      <c r="AE759" s="43"/>
      <c r="AF759" s="43"/>
      <c r="AG759" s="43"/>
      <c r="AH759" s="43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</row>
    <row r="760" spans="1:61" ht="15.75" customHeight="1" x14ac:dyDescent="0.5">
      <c r="A760" s="49"/>
      <c r="B760" s="43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43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43"/>
      <c r="AC760" s="43"/>
      <c r="AD760" s="43"/>
      <c r="AE760" s="43"/>
      <c r="AF760" s="43"/>
      <c r="AG760" s="43"/>
      <c r="AH760" s="43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</row>
    <row r="761" spans="1:61" ht="15.75" customHeight="1" x14ac:dyDescent="0.5">
      <c r="A761" s="49"/>
      <c r="B761" s="43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</row>
    <row r="762" spans="1:61" ht="15.75" customHeight="1" x14ac:dyDescent="0.5">
      <c r="A762" s="49"/>
      <c r="B762" s="43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43"/>
      <c r="AE762" s="43"/>
      <c r="AF762" s="43"/>
      <c r="AG762" s="43"/>
      <c r="AH762" s="43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</row>
    <row r="763" spans="1:61" ht="15.75" customHeight="1" x14ac:dyDescent="0.5">
      <c r="A763" s="49"/>
      <c r="B763" s="43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</row>
    <row r="764" spans="1:61" ht="15.75" customHeight="1" x14ac:dyDescent="0.5">
      <c r="A764" s="49"/>
      <c r="B764" s="43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</row>
    <row r="765" spans="1:61" ht="15.75" customHeight="1" x14ac:dyDescent="0.5">
      <c r="A765" s="49"/>
      <c r="B765" s="43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</row>
    <row r="766" spans="1:61" ht="15.75" customHeight="1" x14ac:dyDescent="0.5">
      <c r="A766" s="49"/>
      <c r="B766" s="43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</row>
    <row r="767" spans="1:61" ht="15.75" customHeight="1" x14ac:dyDescent="0.5">
      <c r="A767" s="49"/>
      <c r="B767" s="43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43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43"/>
      <c r="AC767" s="43"/>
      <c r="AD767" s="43"/>
      <c r="AE767" s="43"/>
      <c r="AF767" s="43"/>
      <c r="AG767" s="43"/>
      <c r="AH767" s="43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</row>
    <row r="768" spans="1:61" ht="15.75" customHeight="1" x14ac:dyDescent="0.5">
      <c r="A768" s="49"/>
      <c r="B768" s="43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43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43"/>
      <c r="AC768" s="43"/>
      <c r="AD768" s="43"/>
      <c r="AE768" s="43"/>
      <c r="AF768" s="43"/>
      <c r="AG768" s="43"/>
      <c r="AH768" s="43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</row>
    <row r="769" spans="1:61" ht="15.75" customHeight="1" x14ac:dyDescent="0.5">
      <c r="A769" s="49"/>
      <c r="B769" s="43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43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43"/>
      <c r="AC769" s="43"/>
      <c r="AD769" s="43"/>
      <c r="AE769" s="43"/>
      <c r="AF769" s="43"/>
      <c r="AG769" s="43"/>
      <c r="AH769" s="43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</row>
    <row r="770" spans="1:61" ht="15.75" customHeight="1" x14ac:dyDescent="0.5">
      <c r="A770" s="49"/>
      <c r="B770" s="43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43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43"/>
      <c r="AC770" s="43"/>
      <c r="AD770" s="43"/>
      <c r="AE770" s="43"/>
      <c r="AF770" s="43"/>
      <c r="AG770" s="43"/>
      <c r="AH770" s="43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</row>
    <row r="771" spans="1:61" ht="15.75" customHeight="1" x14ac:dyDescent="0.5">
      <c r="A771" s="49"/>
      <c r="B771" s="43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3"/>
      <c r="AE771" s="43"/>
      <c r="AF771" s="43"/>
      <c r="AG771" s="43"/>
      <c r="AH771" s="43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</row>
    <row r="772" spans="1:61" ht="15.75" customHeight="1" x14ac:dyDescent="0.5">
      <c r="A772" s="49"/>
      <c r="B772" s="43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3"/>
      <c r="AE772" s="43"/>
      <c r="AF772" s="43"/>
      <c r="AG772" s="43"/>
      <c r="AH772" s="43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</row>
    <row r="773" spans="1:61" ht="15.75" customHeight="1" x14ac:dyDescent="0.5">
      <c r="A773" s="49"/>
      <c r="B773" s="43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</row>
    <row r="774" spans="1:61" ht="15.75" customHeight="1" x14ac:dyDescent="0.5">
      <c r="A774" s="49"/>
      <c r="B774" s="43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43"/>
      <c r="R774" s="43"/>
      <c r="S774" s="43"/>
      <c r="T774" s="43"/>
      <c r="U774" s="43"/>
      <c r="V774" s="43"/>
      <c r="W774" s="43"/>
      <c r="X774" s="43"/>
      <c r="Y774" s="43"/>
      <c r="Z774" s="43"/>
      <c r="AA774" s="43"/>
      <c r="AB774" s="43"/>
      <c r="AC774" s="43"/>
      <c r="AD774" s="43"/>
      <c r="AE774" s="43"/>
      <c r="AF774" s="43"/>
      <c r="AG774" s="43"/>
      <c r="AH774" s="43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</row>
    <row r="775" spans="1:61" ht="15.75" customHeight="1" x14ac:dyDescent="0.5">
      <c r="A775" s="49"/>
      <c r="B775" s="43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43"/>
      <c r="R775" s="43"/>
      <c r="S775" s="43"/>
      <c r="T775" s="43"/>
      <c r="U775" s="43"/>
      <c r="V775" s="43"/>
      <c r="W775" s="43"/>
      <c r="X775" s="43"/>
      <c r="Y775" s="43"/>
      <c r="Z775" s="43"/>
      <c r="AA775" s="43"/>
      <c r="AB775" s="43"/>
      <c r="AC775" s="43"/>
      <c r="AD775" s="43"/>
      <c r="AE775" s="43"/>
      <c r="AF775" s="43"/>
      <c r="AG775" s="43"/>
      <c r="AH775" s="43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</row>
    <row r="776" spans="1:61" ht="15.75" customHeight="1" x14ac:dyDescent="0.5">
      <c r="A776" s="49"/>
      <c r="B776" s="43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43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43"/>
      <c r="AC776" s="43"/>
      <c r="AD776" s="43"/>
      <c r="AE776" s="43"/>
      <c r="AF776" s="43"/>
      <c r="AG776" s="43"/>
      <c r="AH776" s="43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</row>
    <row r="777" spans="1:61" ht="15.75" customHeight="1" x14ac:dyDescent="0.5">
      <c r="A777" s="49"/>
      <c r="B777" s="43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43"/>
      <c r="R777" s="43"/>
      <c r="S777" s="43"/>
      <c r="T777" s="43"/>
      <c r="U777" s="43"/>
      <c r="V777" s="43"/>
      <c r="W777" s="43"/>
      <c r="X777" s="43"/>
      <c r="Y777" s="43"/>
      <c r="Z777" s="43"/>
      <c r="AA777" s="43"/>
      <c r="AB777" s="43"/>
      <c r="AC777" s="43"/>
      <c r="AD777" s="43"/>
      <c r="AE777" s="43"/>
      <c r="AF777" s="43"/>
      <c r="AG777" s="43"/>
      <c r="AH777" s="43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</row>
    <row r="778" spans="1:61" ht="15.75" customHeight="1" x14ac:dyDescent="0.5">
      <c r="A778" s="49"/>
      <c r="B778" s="43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43"/>
      <c r="R778" s="43"/>
      <c r="S778" s="43"/>
      <c r="T778" s="43"/>
      <c r="U778" s="43"/>
      <c r="V778" s="43"/>
      <c r="W778" s="43"/>
      <c r="X778" s="43"/>
      <c r="Y778" s="43"/>
      <c r="Z778" s="43"/>
      <c r="AA778" s="43"/>
      <c r="AB778" s="43"/>
      <c r="AC778" s="43"/>
      <c r="AD778" s="43"/>
      <c r="AE778" s="43"/>
      <c r="AF778" s="43"/>
      <c r="AG778" s="43"/>
      <c r="AH778" s="43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</row>
    <row r="779" spans="1:61" ht="15.75" customHeight="1" x14ac:dyDescent="0.5">
      <c r="A779" s="49"/>
      <c r="B779" s="43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43"/>
      <c r="R779" s="43"/>
      <c r="S779" s="43"/>
      <c r="T779" s="43"/>
      <c r="U779" s="43"/>
      <c r="V779" s="43"/>
      <c r="W779" s="43"/>
      <c r="X779" s="43"/>
      <c r="Y779" s="43"/>
      <c r="Z779" s="43"/>
      <c r="AA779" s="43"/>
      <c r="AB779" s="43"/>
      <c r="AC779" s="43"/>
      <c r="AD779" s="43"/>
      <c r="AE779" s="43"/>
      <c r="AF779" s="43"/>
      <c r="AG779" s="43"/>
      <c r="AH779" s="43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</row>
    <row r="780" spans="1:61" ht="15.75" customHeight="1" x14ac:dyDescent="0.5">
      <c r="A780" s="49"/>
      <c r="B780" s="43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43"/>
      <c r="R780" s="43"/>
      <c r="S780" s="43"/>
      <c r="T780" s="43"/>
      <c r="U780" s="43"/>
      <c r="V780" s="43"/>
      <c r="W780" s="43"/>
      <c r="X780" s="43"/>
      <c r="Y780" s="43"/>
      <c r="Z780" s="43"/>
      <c r="AA780" s="43"/>
      <c r="AB780" s="43"/>
      <c r="AC780" s="43"/>
      <c r="AD780" s="43"/>
      <c r="AE780" s="43"/>
      <c r="AF780" s="43"/>
      <c r="AG780" s="43"/>
      <c r="AH780" s="43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</row>
    <row r="781" spans="1:61" ht="15.75" customHeight="1" x14ac:dyDescent="0.5">
      <c r="A781" s="49"/>
      <c r="B781" s="43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43"/>
      <c r="R781" s="43"/>
      <c r="S781" s="43"/>
      <c r="T781" s="43"/>
      <c r="U781" s="43"/>
      <c r="V781" s="43"/>
      <c r="W781" s="43"/>
      <c r="X781" s="43"/>
      <c r="Y781" s="43"/>
      <c r="Z781" s="43"/>
      <c r="AA781" s="43"/>
      <c r="AB781" s="43"/>
      <c r="AC781" s="43"/>
      <c r="AD781" s="43"/>
      <c r="AE781" s="43"/>
      <c r="AF781" s="43"/>
      <c r="AG781" s="43"/>
      <c r="AH781" s="43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</row>
    <row r="782" spans="1:61" ht="15.75" customHeight="1" x14ac:dyDescent="0.5">
      <c r="A782" s="49"/>
      <c r="B782" s="43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43"/>
      <c r="R782" s="43"/>
      <c r="S782" s="43"/>
      <c r="T782" s="43"/>
      <c r="U782" s="43"/>
      <c r="V782" s="43"/>
      <c r="W782" s="43"/>
      <c r="X782" s="43"/>
      <c r="Y782" s="43"/>
      <c r="Z782" s="43"/>
      <c r="AA782" s="43"/>
      <c r="AB782" s="43"/>
      <c r="AC782" s="43"/>
      <c r="AD782" s="43"/>
      <c r="AE782" s="43"/>
      <c r="AF782" s="43"/>
      <c r="AG782" s="43"/>
      <c r="AH782" s="43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</row>
    <row r="783" spans="1:61" ht="15.75" customHeight="1" x14ac:dyDescent="0.5">
      <c r="A783" s="49"/>
      <c r="B783" s="43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43"/>
      <c r="R783" s="43"/>
      <c r="S783" s="43"/>
      <c r="T783" s="43"/>
      <c r="U783" s="43"/>
      <c r="V783" s="43"/>
      <c r="W783" s="43"/>
      <c r="X783" s="43"/>
      <c r="Y783" s="43"/>
      <c r="Z783" s="43"/>
      <c r="AA783" s="43"/>
      <c r="AB783" s="43"/>
      <c r="AC783" s="43"/>
      <c r="AD783" s="43"/>
      <c r="AE783" s="43"/>
      <c r="AF783" s="43"/>
      <c r="AG783" s="43"/>
      <c r="AH783" s="43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</row>
    <row r="784" spans="1:61" ht="15.75" customHeight="1" x14ac:dyDescent="0.5">
      <c r="A784" s="49"/>
      <c r="B784" s="43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43"/>
      <c r="R784" s="43"/>
      <c r="S784" s="43"/>
      <c r="T784" s="43"/>
      <c r="U784" s="43"/>
      <c r="V784" s="43"/>
      <c r="W784" s="43"/>
      <c r="X784" s="43"/>
      <c r="Y784" s="43"/>
      <c r="Z784" s="43"/>
      <c r="AA784" s="43"/>
      <c r="AB784" s="43"/>
      <c r="AC784" s="43"/>
      <c r="AD784" s="43"/>
      <c r="AE784" s="43"/>
      <c r="AF784" s="43"/>
      <c r="AG784" s="43"/>
      <c r="AH784" s="43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</row>
    <row r="785" spans="1:61" ht="15.75" customHeight="1" x14ac:dyDescent="0.5">
      <c r="A785" s="49"/>
      <c r="B785" s="43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43"/>
      <c r="R785" s="43"/>
      <c r="S785" s="43"/>
      <c r="T785" s="43"/>
      <c r="U785" s="43"/>
      <c r="V785" s="43"/>
      <c r="W785" s="43"/>
      <c r="X785" s="43"/>
      <c r="Y785" s="43"/>
      <c r="Z785" s="43"/>
      <c r="AA785" s="43"/>
      <c r="AB785" s="43"/>
      <c r="AC785" s="43"/>
      <c r="AD785" s="43"/>
      <c r="AE785" s="43"/>
      <c r="AF785" s="43"/>
      <c r="AG785" s="43"/>
      <c r="AH785" s="43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</row>
    <row r="786" spans="1:61" ht="15.75" customHeight="1" x14ac:dyDescent="0.5">
      <c r="A786" s="49"/>
      <c r="B786" s="43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43"/>
      <c r="R786" s="43"/>
      <c r="S786" s="43"/>
      <c r="T786" s="43"/>
      <c r="U786" s="43"/>
      <c r="V786" s="43"/>
      <c r="W786" s="43"/>
      <c r="X786" s="43"/>
      <c r="Y786" s="43"/>
      <c r="Z786" s="43"/>
      <c r="AA786" s="43"/>
      <c r="AB786" s="43"/>
      <c r="AC786" s="43"/>
      <c r="AD786" s="43"/>
      <c r="AE786" s="43"/>
      <c r="AF786" s="43"/>
      <c r="AG786" s="43"/>
      <c r="AH786" s="43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</row>
    <row r="787" spans="1:61" ht="15.75" customHeight="1" x14ac:dyDescent="0.5">
      <c r="A787" s="49"/>
      <c r="B787" s="43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43"/>
      <c r="R787" s="43"/>
      <c r="S787" s="43"/>
      <c r="T787" s="43"/>
      <c r="U787" s="43"/>
      <c r="V787" s="43"/>
      <c r="W787" s="43"/>
      <c r="X787" s="43"/>
      <c r="Y787" s="43"/>
      <c r="Z787" s="43"/>
      <c r="AA787" s="43"/>
      <c r="AB787" s="43"/>
      <c r="AC787" s="43"/>
      <c r="AD787" s="43"/>
      <c r="AE787" s="43"/>
      <c r="AF787" s="43"/>
      <c r="AG787" s="43"/>
      <c r="AH787" s="43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</row>
    <row r="788" spans="1:61" ht="15.75" customHeight="1" x14ac:dyDescent="0.5">
      <c r="A788" s="49"/>
      <c r="B788" s="43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43"/>
      <c r="R788" s="43"/>
      <c r="S788" s="43"/>
      <c r="T788" s="43"/>
      <c r="U788" s="43"/>
      <c r="V788" s="43"/>
      <c r="W788" s="43"/>
      <c r="X788" s="43"/>
      <c r="Y788" s="43"/>
      <c r="Z788" s="43"/>
      <c r="AA788" s="43"/>
      <c r="AB788" s="43"/>
      <c r="AC788" s="43"/>
      <c r="AD788" s="43"/>
      <c r="AE788" s="43"/>
      <c r="AF788" s="43"/>
      <c r="AG788" s="43"/>
      <c r="AH788" s="43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</row>
    <row r="789" spans="1:61" ht="15.75" customHeight="1" x14ac:dyDescent="0.5">
      <c r="A789" s="49"/>
      <c r="B789" s="43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43"/>
      <c r="R789" s="43"/>
      <c r="S789" s="43"/>
      <c r="T789" s="43"/>
      <c r="U789" s="43"/>
      <c r="V789" s="43"/>
      <c r="W789" s="43"/>
      <c r="X789" s="43"/>
      <c r="Y789" s="43"/>
      <c r="Z789" s="43"/>
      <c r="AA789" s="43"/>
      <c r="AB789" s="43"/>
      <c r="AC789" s="43"/>
      <c r="AD789" s="43"/>
      <c r="AE789" s="43"/>
      <c r="AF789" s="43"/>
      <c r="AG789" s="43"/>
      <c r="AH789" s="43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</row>
    <row r="790" spans="1:61" ht="15.75" customHeight="1" x14ac:dyDescent="0.5">
      <c r="A790" s="49"/>
      <c r="B790" s="43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43"/>
      <c r="R790" s="43"/>
      <c r="S790" s="43"/>
      <c r="T790" s="43"/>
      <c r="U790" s="43"/>
      <c r="V790" s="43"/>
      <c r="W790" s="43"/>
      <c r="X790" s="43"/>
      <c r="Y790" s="43"/>
      <c r="Z790" s="43"/>
      <c r="AA790" s="43"/>
      <c r="AB790" s="43"/>
      <c r="AC790" s="43"/>
      <c r="AD790" s="43"/>
      <c r="AE790" s="43"/>
      <c r="AF790" s="43"/>
      <c r="AG790" s="43"/>
      <c r="AH790" s="43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</row>
    <row r="791" spans="1:61" ht="15.75" customHeight="1" x14ac:dyDescent="0.5">
      <c r="A791" s="49"/>
      <c r="B791" s="43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43"/>
      <c r="R791" s="43"/>
      <c r="S791" s="43"/>
      <c r="T791" s="43"/>
      <c r="U791" s="43"/>
      <c r="V791" s="43"/>
      <c r="W791" s="43"/>
      <c r="X791" s="43"/>
      <c r="Y791" s="43"/>
      <c r="Z791" s="43"/>
      <c r="AA791" s="43"/>
      <c r="AB791" s="43"/>
      <c r="AC791" s="43"/>
      <c r="AD791" s="43"/>
      <c r="AE791" s="43"/>
      <c r="AF791" s="43"/>
      <c r="AG791" s="43"/>
      <c r="AH791" s="43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</row>
    <row r="792" spans="1:61" ht="15.75" customHeight="1" x14ac:dyDescent="0.5">
      <c r="A792" s="49"/>
      <c r="B792" s="43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43"/>
      <c r="R792" s="43"/>
      <c r="S792" s="43"/>
      <c r="T792" s="43"/>
      <c r="U792" s="43"/>
      <c r="V792" s="43"/>
      <c r="W792" s="43"/>
      <c r="X792" s="43"/>
      <c r="Y792" s="43"/>
      <c r="Z792" s="43"/>
      <c r="AA792" s="43"/>
      <c r="AB792" s="43"/>
      <c r="AC792" s="43"/>
      <c r="AD792" s="43"/>
      <c r="AE792" s="43"/>
      <c r="AF792" s="43"/>
      <c r="AG792" s="43"/>
      <c r="AH792" s="43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</row>
    <row r="793" spans="1:61" ht="15.75" customHeight="1" x14ac:dyDescent="0.5">
      <c r="A793" s="49"/>
      <c r="B793" s="43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43"/>
      <c r="R793" s="43"/>
      <c r="S793" s="43"/>
      <c r="T793" s="43"/>
      <c r="U793" s="43"/>
      <c r="V793" s="43"/>
      <c r="W793" s="43"/>
      <c r="X793" s="43"/>
      <c r="Y793" s="43"/>
      <c r="Z793" s="43"/>
      <c r="AA793" s="43"/>
      <c r="AB793" s="43"/>
      <c r="AC793" s="43"/>
      <c r="AD793" s="43"/>
      <c r="AE793" s="43"/>
      <c r="AF793" s="43"/>
      <c r="AG793" s="43"/>
      <c r="AH793" s="43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</row>
    <row r="794" spans="1:61" ht="15.75" customHeight="1" x14ac:dyDescent="0.5">
      <c r="A794" s="49"/>
      <c r="B794" s="43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43"/>
      <c r="R794" s="43"/>
      <c r="S794" s="43"/>
      <c r="T794" s="43"/>
      <c r="U794" s="43"/>
      <c r="V794" s="43"/>
      <c r="W794" s="43"/>
      <c r="X794" s="43"/>
      <c r="Y794" s="43"/>
      <c r="Z794" s="43"/>
      <c r="AA794" s="43"/>
      <c r="AB794" s="43"/>
      <c r="AC794" s="43"/>
      <c r="AD794" s="43"/>
      <c r="AE794" s="43"/>
      <c r="AF794" s="43"/>
      <c r="AG794" s="43"/>
      <c r="AH794" s="43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</row>
    <row r="795" spans="1:61" ht="15.75" customHeight="1" x14ac:dyDescent="0.5">
      <c r="A795" s="49"/>
      <c r="B795" s="43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43"/>
      <c r="R795" s="43"/>
      <c r="S795" s="43"/>
      <c r="T795" s="43"/>
      <c r="U795" s="43"/>
      <c r="V795" s="43"/>
      <c r="W795" s="43"/>
      <c r="X795" s="43"/>
      <c r="Y795" s="43"/>
      <c r="Z795" s="43"/>
      <c r="AA795" s="43"/>
      <c r="AB795" s="43"/>
      <c r="AC795" s="43"/>
      <c r="AD795" s="43"/>
      <c r="AE795" s="43"/>
      <c r="AF795" s="43"/>
      <c r="AG795" s="43"/>
      <c r="AH795" s="43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</row>
    <row r="796" spans="1:61" ht="15.75" customHeight="1" x14ac:dyDescent="0.5">
      <c r="A796" s="49"/>
      <c r="B796" s="43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43"/>
      <c r="R796" s="43"/>
      <c r="S796" s="43"/>
      <c r="T796" s="43"/>
      <c r="U796" s="43"/>
      <c r="V796" s="43"/>
      <c r="W796" s="43"/>
      <c r="X796" s="43"/>
      <c r="Y796" s="43"/>
      <c r="Z796" s="43"/>
      <c r="AA796" s="43"/>
      <c r="AB796" s="43"/>
      <c r="AC796" s="43"/>
      <c r="AD796" s="43"/>
      <c r="AE796" s="43"/>
      <c r="AF796" s="43"/>
      <c r="AG796" s="43"/>
      <c r="AH796" s="43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</row>
    <row r="797" spans="1:61" ht="15.75" customHeight="1" x14ac:dyDescent="0.5">
      <c r="A797" s="49"/>
      <c r="B797" s="43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43"/>
      <c r="R797" s="43"/>
      <c r="S797" s="43"/>
      <c r="T797" s="43"/>
      <c r="U797" s="43"/>
      <c r="V797" s="43"/>
      <c r="W797" s="43"/>
      <c r="X797" s="43"/>
      <c r="Y797" s="43"/>
      <c r="Z797" s="43"/>
      <c r="AA797" s="43"/>
      <c r="AB797" s="43"/>
      <c r="AC797" s="43"/>
      <c r="AD797" s="43"/>
      <c r="AE797" s="43"/>
      <c r="AF797" s="43"/>
      <c r="AG797" s="43"/>
      <c r="AH797" s="43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</row>
    <row r="798" spans="1:61" ht="15.75" customHeight="1" x14ac:dyDescent="0.5">
      <c r="A798" s="49"/>
      <c r="B798" s="43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43"/>
      <c r="R798" s="43"/>
      <c r="S798" s="43"/>
      <c r="T798" s="43"/>
      <c r="U798" s="43"/>
      <c r="V798" s="43"/>
      <c r="W798" s="43"/>
      <c r="X798" s="43"/>
      <c r="Y798" s="43"/>
      <c r="Z798" s="43"/>
      <c r="AA798" s="43"/>
      <c r="AB798" s="43"/>
      <c r="AC798" s="43"/>
      <c r="AD798" s="43"/>
      <c r="AE798" s="43"/>
      <c r="AF798" s="43"/>
      <c r="AG798" s="43"/>
      <c r="AH798" s="43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</row>
    <row r="799" spans="1:61" ht="15.75" customHeight="1" x14ac:dyDescent="0.5">
      <c r="A799" s="49"/>
      <c r="B799" s="43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43"/>
      <c r="R799" s="43"/>
      <c r="S799" s="43"/>
      <c r="T799" s="43"/>
      <c r="U799" s="43"/>
      <c r="V799" s="43"/>
      <c r="W799" s="43"/>
      <c r="X799" s="43"/>
      <c r="Y799" s="43"/>
      <c r="Z799" s="43"/>
      <c r="AA799" s="43"/>
      <c r="AB799" s="43"/>
      <c r="AC799" s="43"/>
      <c r="AD799" s="43"/>
      <c r="AE799" s="43"/>
      <c r="AF799" s="43"/>
      <c r="AG799" s="43"/>
      <c r="AH799" s="43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</row>
    <row r="800" spans="1:61" ht="15.75" customHeight="1" x14ac:dyDescent="0.5">
      <c r="A800" s="49"/>
      <c r="B800" s="43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43"/>
      <c r="R800" s="43"/>
      <c r="S800" s="43"/>
      <c r="T800" s="43"/>
      <c r="U800" s="43"/>
      <c r="V800" s="43"/>
      <c r="W800" s="43"/>
      <c r="X800" s="43"/>
      <c r="Y800" s="43"/>
      <c r="Z800" s="43"/>
      <c r="AA800" s="43"/>
      <c r="AB800" s="43"/>
      <c r="AC800" s="43"/>
      <c r="AD800" s="43"/>
      <c r="AE800" s="43"/>
      <c r="AF800" s="43"/>
      <c r="AG800" s="43"/>
      <c r="AH800" s="43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</row>
    <row r="801" spans="1:61" ht="15.75" customHeight="1" x14ac:dyDescent="0.5">
      <c r="A801" s="49"/>
      <c r="B801" s="43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43"/>
      <c r="R801" s="43"/>
      <c r="S801" s="43"/>
      <c r="T801" s="43"/>
      <c r="U801" s="43"/>
      <c r="V801" s="43"/>
      <c r="W801" s="43"/>
      <c r="X801" s="43"/>
      <c r="Y801" s="43"/>
      <c r="Z801" s="43"/>
      <c r="AA801" s="43"/>
      <c r="AB801" s="43"/>
      <c r="AC801" s="43"/>
      <c r="AD801" s="43"/>
      <c r="AE801" s="43"/>
      <c r="AF801" s="43"/>
      <c r="AG801" s="43"/>
      <c r="AH801" s="43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</row>
    <row r="802" spans="1:61" ht="15.75" customHeight="1" x14ac:dyDescent="0.5">
      <c r="A802" s="49"/>
      <c r="B802" s="43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43"/>
      <c r="R802" s="43"/>
      <c r="S802" s="43"/>
      <c r="T802" s="43"/>
      <c r="U802" s="43"/>
      <c r="V802" s="43"/>
      <c r="W802" s="43"/>
      <c r="X802" s="43"/>
      <c r="Y802" s="43"/>
      <c r="Z802" s="43"/>
      <c r="AA802" s="43"/>
      <c r="AB802" s="43"/>
      <c r="AC802" s="43"/>
      <c r="AD802" s="43"/>
      <c r="AE802" s="43"/>
      <c r="AF802" s="43"/>
      <c r="AG802" s="43"/>
      <c r="AH802" s="43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</row>
    <row r="803" spans="1:61" ht="15.75" customHeight="1" x14ac:dyDescent="0.5">
      <c r="A803" s="49"/>
      <c r="B803" s="43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  <c r="AC803" s="43"/>
      <c r="AD803" s="43"/>
      <c r="AE803" s="43"/>
      <c r="AF803" s="43"/>
      <c r="AG803" s="43"/>
      <c r="AH803" s="43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</row>
    <row r="804" spans="1:61" ht="15.75" customHeight="1" x14ac:dyDescent="0.5">
      <c r="A804" s="49"/>
      <c r="B804" s="43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  <c r="AC804" s="43"/>
      <c r="AD804" s="43"/>
      <c r="AE804" s="43"/>
      <c r="AF804" s="43"/>
      <c r="AG804" s="43"/>
      <c r="AH804" s="43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</row>
    <row r="805" spans="1:61" ht="15.75" customHeight="1" x14ac:dyDescent="0.5">
      <c r="A805" s="49"/>
      <c r="B805" s="43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43"/>
      <c r="R805" s="43"/>
      <c r="S805" s="43"/>
      <c r="T805" s="43"/>
      <c r="U805" s="43"/>
      <c r="V805" s="43"/>
      <c r="W805" s="43"/>
      <c r="X805" s="43"/>
      <c r="Y805" s="43"/>
      <c r="Z805" s="43"/>
      <c r="AA805" s="43"/>
      <c r="AB805" s="43"/>
      <c r="AC805" s="43"/>
      <c r="AD805" s="43"/>
      <c r="AE805" s="43"/>
      <c r="AF805" s="43"/>
      <c r="AG805" s="43"/>
      <c r="AH805" s="43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</row>
    <row r="806" spans="1:61" ht="15.75" customHeight="1" x14ac:dyDescent="0.5">
      <c r="A806" s="49"/>
      <c r="B806" s="43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43"/>
      <c r="R806" s="43"/>
      <c r="S806" s="43"/>
      <c r="T806" s="43"/>
      <c r="U806" s="43"/>
      <c r="V806" s="43"/>
      <c r="W806" s="43"/>
      <c r="X806" s="43"/>
      <c r="Y806" s="43"/>
      <c r="Z806" s="43"/>
      <c r="AA806" s="43"/>
      <c r="AB806" s="43"/>
      <c r="AC806" s="43"/>
      <c r="AD806" s="43"/>
      <c r="AE806" s="43"/>
      <c r="AF806" s="43"/>
      <c r="AG806" s="43"/>
      <c r="AH806" s="43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</row>
    <row r="807" spans="1:61" ht="15.75" customHeight="1" x14ac:dyDescent="0.5">
      <c r="A807" s="49"/>
      <c r="B807" s="43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43"/>
      <c r="R807" s="43"/>
      <c r="S807" s="43"/>
      <c r="T807" s="43"/>
      <c r="U807" s="43"/>
      <c r="V807" s="43"/>
      <c r="W807" s="43"/>
      <c r="X807" s="43"/>
      <c r="Y807" s="43"/>
      <c r="Z807" s="43"/>
      <c r="AA807" s="43"/>
      <c r="AB807" s="43"/>
      <c r="AC807" s="43"/>
      <c r="AD807" s="43"/>
      <c r="AE807" s="43"/>
      <c r="AF807" s="43"/>
      <c r="AG807" s="43"/>
      <c r="AH807" s="43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</row>
    <row r="808" spans="1:61" ht="15.75" customHeight="1" x14ac:dyDescent="0.5">
      <c r="A808" s="49"/>
      <c r="B808" s="43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43"/>
      <c r="R808" s="43"/>
      <c r="S808" s="43"/>
      <c r="T808" s="43"/>
      <c r="U808" s="43"/>
      <c r="V808" s="43"/>
      <c r="W808" s="43"/>
      <c r="X808" s="43"/>
      <c r="Y808" s="43"/>
      <c r="Z808" s="43"/>
      <c r="AA808" s="43"/>
      <c r="AB808" s="43"/>
      <c r="AC808" s="43"/>
      <c r="AD808" s="43"/>
      <c r="AE808" s="43"/>
      <c r="AF808" s="43"/>
      <c r="AG808" s="43"/>
      <c r="AH808" s="43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</row>
    <row r="809" spans="1:61" ht="15.75" customHeight="1" x14ac:dyDescent="0.5">
      <c r="A809" s="49"/>
      <c r="B809" s="43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43"/>
      <c r="R809" s="43"/>
      <c r="S809" s="43"/>
      <c r="T809" s="43"/>
      <c r="U809" s="43"/>
      <c r="V809" s="43"/>
      <c r="W809" s="43"/>
      <c r="X809" s="43"/>
      <c r="Y809" s="43"/>
      <c r="Z809" s="43"/>
      <c r="AA809" s="43"/>
      <c r="AB809" s="43"/>
      <c r="AC809" s="43"/>
      <c r="AD809" s="43"/>
      <c r="AE809" s="43"/>
      <c r="AF809" s="43"/>
      <c r="AG809" s="43"/>
      <c r="AH809" s="43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</row>
    <row r="810" spans="1:61" ht="15.75" customHeight="1" x14ac:dyDescent="0.5">
      <c r="A810" s="49"/>
      <c r="B810" s="43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43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43"/>
      <c r="AC810" s="43"/>
      <c r="AD810" s="43"/>
      <c r="AE810" s="43"/>
      <c r="AF810" s="43"/>
      <c r="AG810" s="43"/>
      <c r="AH810" s="43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</row>
    <row r="811" spans="1:61" ht="15.75" customHeight="1" x14ac:dyDescent="0.5">
      <c r="A811" s="49"/>
      <c r="B811" s="43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  <c r="AC811" s="43"/>
      <c r="AD811" s="43"/>
      <c r="AE811" s="43"/>
      <c r="AF811" s="43"/>
      <c r="AG811" s="43"/>
      <c r="AH811" s="43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</row>
    <row r="812" spans="1:61" ht="15.75" customHeight="1" x14ac:dyDescent="0.5">
      <c r="A812" s="49"/>
      <c r="B812" s="43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43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43"/>
      <c r="AC812" s="43"/>
      <c r="AD812" s="43"/>
      <c r="AE812" s="43"/>
      <c r="AF812" s="43"/>
      <c r="AG812" s="43"/>
      <c r="AH812" s="43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</row>
    <row r="813" spans="1:61" ht="15.75" customHeight="1" x14ac:dyDescent="0.5">
      <c r="A813" s="49"/>
      <c r="B813" s="43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43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43"/>
      <c r="AC813" s="43"/>
      <c r="AD813" s="43"/>
      <c r="AE813" s="43"/>
      <c r="AF813" s="43"/>
      <c r="AG813" s="43"/>
      <c r="AH813" s="43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</row>
    <row r="814" spans="1:61" ht="15.75" customHeight="1" x14ac:dyDescent="0.5">
      <c r="A814" s="49"/>
      <c r="B814" s="43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43"/>
      <c r="R814" s="43"/>
      <c r="S814" s="43"/>
      <c r="T814" s="43"/>
      <c r="U814" s="43"/>
      <c r="V814" s="43"/>
      <c r="W814" s="43"/>
      <c r="X814" s="43"/>
      <c r="Y814" s="43"/>
      <c r="Z814" s="43"/>
      <c r="AA814" s="43"/>
      <c r="AB814" s="43"/>
      <c r="AC814" s="43"/>
      <c r="AD814" s="43"/>
      <c r="AE814" s="43"/>
      <c r="AF814" s="43"/>
      <c r="AG814" s="43"/>
      <c r="AH814" s="43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</row>
    <row r="815" spans="1:61" ht="15.75" customHeight="1" x14ac:dyDescent="0.5">
      <c r="A815" s="49"/>
      <c r="B815" s="43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43"/>
      <c r="R815" s="43"/>
      <c r="S815" s="43"/>
      <c r="T815" s="43"/>
      <c r="U815" s="43"/>
      <c r="V815" s="43"/>
      <c r="W815" s="43"/>
      <c r="X815" s="43"/>
      <c r="Y815" s="43"/>
      <c r="Z815" s="43"/>
      <c r="AA815" s="43"/>
      <c r="AB815" s="43"/>
      <c r="AC815" s="43"/>
      <c r="AD815" s="43"/>
      <c r="AE815" s="43"/>
      <c r="AF815" s="43"/>
      <c r="AG815" s="43"/>
      <c r="AH815" s="43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</row>
    <row r="816" spans="1:61" ht="15.75" customHeight="1" x14ac:dyDescent="0.5">
      <c r="A816" s="49"/>
      <c r="B816" s="43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43"/>
      <c r="R816" s="43"/>
      <c r="S816" s="43"/>
      <c r="T816" s="43"/>
      <c r="U816" s="43"/>
      <c r="V816" s="43"/>
      <c r="W816" s="43"/>
      <c r="X816" s="43"/>
      <c r="Y816" s="43"/>
      <c r="Z816" s="43"/>
      <c r="AA816" s="43"/>
      <c r="AB816" s="43"/>
      <c r="AC816" s="43"/>
      <c r="AD816" s="43"/>
      <c r="AE816" s="43"/>
      <c r="AF816" s="43"/>
      <c r="AG816" s="43"/>
      <c r="AH816" s="43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</row>
    <row r="817" spans="1:61" ht="15.75" customHeight="1" x14ac:dyDescent="0.5">
      <c r="A817" s="49"/>
      <c r="B817" s="43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43"/>
      <c r="R817" s="43"/>
      <c r="S817" s="43"/>
      <c r="T817" s="43"/>
      <c r="U817" s="43"/>
      <c r="V817" s="43"/>
      <c r="W817" s="43"/>
      <c r="X817" s="43"/>
      <c r="Y817" s="43"/>
      <c r="Z817" s="43"/>
      <c r="AA817" s="43"/>
      <c r="AB817" s="43"/>
      <c r="AC817" s="43"/>
      <c r="AD817" s="43"/>
      <c r="AE817" s="43"/>
      <c r="AF817" s="43"/>
      <c r="AG817" s="43"/>
      <c r="AH817" s="43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</row>
    <row r="818" spans="1:61" ht="15.75" customHeight="1" x14ac:dyDescent="0.5">
      <c r="A818" s="49"/>
      <c r="B818" s="43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43"/>
      <c r="R818" s="43"/>
      <c r="S818" s="43"/>
      <c r="T818" s="43"/>
      <c r="U818" s="43"/>
      <c r="V818" s="43"/>
      <c r="W818" s="43"/>
      <c r="X818" s="43"/>
      <c r="Y818" s="43"/>
      <c r="Z818" s="43"/>
      <c r="AA818" s="43"/>
      <c r="AB818" s="43"/>
      <c r="AC818" s="43"/>
      <c r="AD818" s="43"/>
      <c r="AE818" s="43"/>
      <c r="AF818" s="43"/>
      <c r="AG818" s="43"/>
      <c r="AH818" s="43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</row>
    <row r="819" spans="1:61" ht="15.75" customHeight="1" x14ac:dyDescent="0.5">
      <c r="A819" s="49"/>
      <c r="B819" s="43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43"/>
      <c r="R819" s="43"/>
      <c r="S819" s="43"/>
      <c r="T819" s="43"/>
      <c r="U819" s="43"/>
      <c r="V819" s="43"/>
      <c r="W819" s="43"/>
      <c r="X819" s="43"/>
      <c r="Y819" s="43"/>
      <c r="Z819" s="43"/>
      <c r="AA819" s="43"/>
      <c r="AB819" s="43"/>
      <c r="AC819" s="43"/>
      <c r="AD819" s="43"/>
      <c r="AE819" s="43"/>
      <c r="AF819" s="43"/>
      <c r="AG819" s="43"/>
      <c r="AH819" s="43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</row>
    <row r="820" spans="1:61" ht="15.75" customHeight="1" x14ac:dyDescent="0.5">
      <c r="A820" s="49"/>
      <c r="B820" s="43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43"/>
      <c r="R820" s="43"/>
      <c r="S820" s="43"/>
      <c r="T820" s="43"/>
      <c r="U820" s="43"/>
      <c r="V820" s="43"/>
      <c r="W820" s="43"/>
      <c r="X820" s="43"/>
      <c r="Y820" s="43"/>
      <c r="Z820" s="43"/>
      <c r="AA820" s="43"/>
      <c r="AB820" s="43"/>
      <c r="AC820" s="43"/>
      <c r="AD820" s="43"/>
      <c r="AE820" s="43"/>
      <c r="AF820" s="43"/>
      <c r="AG820" s="43"/>
      <c r="AH820" s="43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</row>
    <row r="821" spans="1:61" ht="15.75" customHeight="1" x14ac:dyDescent="0.5">
      <c r="A821" s="49"/>
      <c r="B821" s="43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43"/>
      <c r="R821" s="43"/>
      <c r="S821" s="43"/>
      <c r="T821" s="43"/>
      <c r="U821" s="43"/>
      <c r="V821" s="43"/>
      <c r="W821" s="43"/>
      <c r="X821" s="43"/>
      <c r="Y821" s="43"/>
      <c r="Z821" s="43"/>
      <c r="AA821" s="43"/>
      <c r="AB821" s="43"/>
      <c r="AC821" s="43"/>
      <c r="AD821" s="43"/>
      <c r="AE821" s="43"/>
      <c r="AF821" s="43"/>
      <c r="AG821" s="43"/>
      <c r="AH821" s="43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</row>
    <row r="822" spans="1:61" ht="15.75" customHeight="1" x14ac:dyDescent="0.5">
      <c r="A822" s="49"/>
      <c r="B822" s="43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43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43"/>
      <c r="AC822" s="43"/>
      <c r="AD822" s="43"/>
      <c r="AE822" s="43"/>
      <c r="AF822" s="43"/>
      <c r="AG822" s="43"/>
      <c r="AH822" s="43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</row>
    <row r="823" spans="1:61" ht="15.75" customHeight="1" x14ac:dyDescent="0.5">
      <c r="A823" s="49"/>
      <c r="B823" s="43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43"/>
      <c r="R823" s="43"/>
      <c r="S823" s="43"/>
      <c r="T823" s="43"/>
      <c r="U823" s="43"/>
      <c r="V823" s="43"/>
      <c r="W823" s="43"/>
      <c r="X823" s="43"/>
      <c r="Y823" s="43"/>
      <c r="Z823" s="43"/>
      <c r="AA823" s="43"/>
      <c r="AB823" s="43"/>
      <c r="AC823" s="43"/>
      <c r="AD823" s="43"/>
      <c r="AE823" s="43"/>
      <c r="AF823" s="43"/>
      <c r="AG823" s="43"/>
      <c r="AH823" s="43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</row>
    <row r="824" spans="1:61" ht="15.75" customHeight="1" x14ac:dyDescent="0.5">
      <c r="A824" s="49"/>
      <c r="B824" s="43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43"/>
      <c r="R824" s="43"/>
      <c r="S824" s="43"/>
      <c r="T824" s="43"/>
      <c r="U824" s="43"/>
      <c r="V824" s="43"/>
      <c r="W824" s="43"/>
      <c r="X824" s="43"/>
      <c r="Y824" s="43"/>
      <c r="Z824" s="43"/>
      <c r="AA824" s="43"/>
      <c r="AB824" s="43"/>
      <c r="AC824" s="43"/>
      <c r="AD824" s="43"/>
      <c r="AE824" s="43"/>
      <c r="AF824" s="43"/>
      <c r="AG824" s="43"/>
      <c r="AH824" s="43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</row>
    <row r="825" spans="1:61" ht="15.75" customHeight="1" x14ac:dyDescent="0.5">
      <c r="A825" s="49"/>
      <c r="B825" s="43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43"/>
      <c r="R825" s="43"/>
      <c r="S825" s="43"/>
      <c r="T825" s="43"/>
      <c r="U825" s="43"/>
      <c r="V825" s="43"/>
      <c r="W825" s="43"/>
      <c r="X825" s="43"/>
      <c r="Y825" s="43"/>
      <c r="Z825" s="43"/>
      <c r="AA825" s="43"/>
      <c r="AB825" s="43"/>
      <c r="AC825" s="43"/>
      <c r="AD825" s="43"/>
      <c r="AE825" s="43"/>
      <c r="AF825" s="43"/>
      <c r="AG825" s="43"/>
      <c r="AH825" s="43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</row>
    <row r="826" spans="1:61" ht="15.75" customHeight="1" x14ac:dyDescent="0.5">
      <c r="A826" s="49"/>
      <c r="B826" s="43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43"/>
      <c r="R826" s="43"/>
      <c r="S826" s="43"/>
      <c r="T826" s="43"/>
      <c r="U826" s="43"/>
      <c r="V826" s="43"/>
      <c r="W826" s="43"/>
      <c r="X826" s="43"/>
      <c r="Y826" s="43"/>
      <c r="Z826" s="43"/>
      <c r="AA826" s="43"/>
      <c r="AB826" s="43"/>
      <c r="AC826" s="43"/>
      <c r="AD826" s="43"/>
      <c r="AE826" s="43"/>
      <c r="AF826" s="43"/>
      <c r="AG826" s="43"/>
      <c r="AH826" s="43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</row>
    <row r="827" spans="1:61" ht="15.75" customHeight="1" x14ac:dyDescent="0.5">
      <c r="A827" s="49"/>
      <c r="B827" s="43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43"/>
      <c r="R827" s="43"/>
      <c r="S827" s="43"/>
      <c r="T827" s="43"/>
      <c r="U827" s="43"/>
      <c r="V827" s="43"/>
      <c r="W827" s="43"/>
      <c r="X827" s="43"/>
      <c r="Y827" s="43"/>
      <c r="Z827" s="43"/>
      <c r="AA827" s="43"/>
      <c r="AB827" s="43"/>
      <c r="AC827" s="43"/>
      <c r="AD827" s="43"/>
      <c r="AE827" s="43"/>
      <c r="AF827" s="43"/>
      <c r="AG827" s="43"/>
      <c r="AH827" s="43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</row>
    <row r="828" spans="1:61" ht="15.75" customHeight="1" x14ac:dyDescent="0.5">
      <c r="A828" s="49"/>
      <c r="B828" s="43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43"/>
      <c r="R828" s="43"/>
      <c r="S828" s="43"/>
      <c r="T828" s="43"/>
      <c r="U828" s="43"/>
      <c r="V828" s="43"/>
      <c r="W828" s="43"/>
      <c r="X828" s="43"/>
      <c r="Y828" s="43"/>
      <c r="Z828" s="43"/>
      <c r="AA828" s="43"/>
      <c r="AB828" s="43"/>
      <c r="AC828" s="43"/>
      <c r="AD828" s="43"/>
      <c r="AE828" s="43"/>
      <c r="AF828" s="43"/>
      <c r="AG828" s="43"/>
      <c r="AH828" s="43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</row>
    <row r="829" spans="1:61" ht="15.75" customHeight="1" x14ac:dyDescent="0.5">
      <c r="A829" s="49"/>
      <c r="B829" s="43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43"/>
      <c r="R829" s="43"/>
      <c r="S829" s="43"/>
      <c r="T829" s="43"/>
      <c r="U829" s="43"/>
      <c r="V829" s="43"/>
      <c r="W829" s="43"/>
      <c r="X829" s="43"/>
      <c r="Y829" s="43"/>
      <c r="Z829" s="43"/>
      <c r="AA829" s="43"/>
      <c r="AB829" s="43"/>
      <c r="AC829" s="43"/>
      <c r="AD829" s="43"/>
      <c r="AE829" s="43"/>
      <c r="AF829" s="43"/>
      <c r="AG829" s="43"/>
      <c r="AH829" s="43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</row>
    <row r="830" spans="1:61" ht="15.75" customHeight="1" x14ac:dyDescent="0.5">
      <c r="A830" s="49"/>
      <c r="B830" s="43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43"/>
      <c r="R830" s="43"/>
      <c r="S830" s="43"/>
      <c r="T830" s="43"/>
      <c r="U830" s="43"/>
      <c r="V830" s="43"/>
      <c r="W830" s="43"/>
      <c r="X830" s="43"/>
      <c r="Y830" s="43"/>
      <c r="Z830" s="43"/>
      <c r="AA830" s="43"/>
      <c r="AB830" s="43"/>
      <c r="AC830" s="43"/>
      <c r="AD830" s="43"/>
      <c r="AE830" s="43"/>
      <c r="AF830" s="43"/>
      <c r="AG830" s="43"/>
      <c r="AH830" s="43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</row>
    <row r="831" spans="1:61" ht="15.75" customHeight="1" x14ac:dyDescent="0.5">
      <c r="A831" s="49"/>
      <c r="B831" s="43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43"/>
      <c r="R831" s="43"/>
      <c r="S831" s="43"/>
      <c r="T831" s="43"/>
      <c r="U831" s="43"/>
      <c r="V831" s="43"/>
      <c r="W831" s="43"/>
      <c r="X831" s="43"/>
      <c r="Y831" s="43"/>
      <c r="Z831" s="43"/>
      <c r="AA831" s="43"/>
      <c r="AB831" s="43"/>
      <c r="AC831" s="43"/>
      <c r="AD831" s="43"/>
      <c r="AE831" s="43"/>
      <c r="AF831" s="43"/>
      <c r="AG831" s="43"/>
      <c r="AH831" s="43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</row>
    <row r="832" spans="1:61" ht="15.75" customHeight="1" x14ac:dyDescent="0.5">
      <c r="A832" s="49"/>
      <c r="B832" s="43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43"/>
      <c r="R832" s="43"/>
      <c r="S832" s="43"/>
      <c r="T832" s="43"/>
      <c r="U832" s="43"/>
      <c r="V832" s="43"/>
      <c r="W832" s="43"/>
      <c r="X832" s="43"/>
      <c r="Y832" s="43"/>
      <c r="Z832" s="43"/>
      <c r="AA832" s="43"/>
      <c r="AB832" s="43"/>
      <c r="AC832" s="43"/>
      <c r="AD832" s="43"/>
      <c r="AE832" s="43"/>
      <c r="AF832" s="43"/>
      <c r="AG832" s="43"/>
      <c r="AH832" s="43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</row>
    <row r="833" spans="1:61" ht="15.75" customHeight="1" x14ac:dyDescent="0.5">
      <c r="A833" s="49"/>
      <c r="B833" s="43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43"/>
      <c r="R833" s="43"/>
      <c r="S833" s="43"/>
      <c r="T833" s="43"/>
      <c r="U833" s="43"/>
      <c r="V833" s="43"/>
      <c r="W833" s="43"/>
      <c r="X833" s="43"/>
      <c r="Y833" s="43"/>
      <c r="Z833" s="43"/>
      <c r="AA833" s="43"/>
      <c r="AB833" s="43"/>
      <c r="AC833" s="43"/>
      <c r="AD833" s="43"/>
      <c r="AE833" s="43"/>
      <c r="AF833" s="43"/>
      <c r="AG833" s="43"/>
      <c r="AH833" s="43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</row>
    <row r="834" spans="1:61" ht="15.75" customHeight="1" x14ac:dyDescent="0.5">
      <c r="A834" s="49"/>
      <c r="B834" s="43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43"/>
      <c r="R834" s="43"/>
      <c r="S834" s="43"/>
      <c r="T834" s="43"/>
      <c r="U834" s="43"/>
      <c r="V834" s="43"/>
      <c r="W834" s="43"/>
      <c r="X834" s="43"/>
      <c r="Y834" s="43"/>
      <c r="Z834" s="43"/>
      <c r="AA834" s="43"/>
      <c r="AB834" s="43"/>
      <c r="AC834" s="43"/>
      <c r="AD834" s="43"/>
      <c r="AE834" s="43"/>
      <c r="AF834" s="43"/>
      <c r="AG834" s="43"/>
      <c r="AH834" s="43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</row>
    <row r="835" spans="1:61" ht="15.75" customHeight="1" x14ac:dyDescent="0.5">
      <c r="A835" s="49"/>
      <c r="B835" s="43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43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43"/>
      <c r="AC835" s="43"/>
      <c r="AD835" s="43"/>
      <c r="AE835" s="43"/>
      <c r="AF835" s="43"/>
      <c r="AG835" s="43"/>
      <c r="AH835" s="43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</row>
    <row r="836" spans="1:61" ht="15.75" customHeight="1" x14ac:dyDescent="0.5">
      <c r="A836" s="49"/>
      <c r="B836" s="43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43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43"/>
      <c r="AC836" s="43"/>
      <c r="AD836" s="43"/>
      <c r="AE836" s="43"/>
      <c r="AF836" s="43"/>
      <c r="AG836" s="43"/>
      <c r="AH836" s="43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</row>
    <row r="837" spans="1:61" ht="15.75" customHeight="1" x14ac:dyDescent="0.5">
      <c r="A837" s="49"/>
      <c r="B837" s="43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43"/>
      <c r="R837" s="43"/>
      <c r="S837" s="43"/>
      <c r="T837" s="43"/>
      <c r="U837" s="43"/>
      <c r="V837" s="43"/>
      <c r="W837" s="43"/>
      <c r="X837" s="43"/>
      <c r="Y837" s="43"/>
      <c r="Z837" s="43"/>
      <c r="AA837" s="43"/>
      <c r="AB837" s="43"/>
      <c r="AC837" s="43"/>
      <c r="AD837" s="43"/>
      <c r="AE837" s="43"/>
      <c r="AF837" s="43"/>
      <c r="AG837" s="43"/>
      <c r="AH837" s="43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</row>
    <row r="838" spans="1:61" ht="15.75" customHeight="1" x14ac:dyDescent="0.5">
      <c r="A838" s="49"/>
      <c r="B838" s="43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43"/>
      <c r="R838" s="43"/>
      <c r="S838" s="43"/>
      <c r="T838" s="43"/>
      <c r="U838" s="43"/>
      <c r="V838" s="43"/>
      <c r="W838" s="43"/>
      <c r="X838" s="43"/>
      <c r="Y838" s="43"/>
      <c r="Z838" s="43"/>
      <c r="AA838" s="43"/>
      <c r="AB838" s="43"/>
      <c r="AC838" s="43"/>
      <c r="AD838" s="43"/>
      <c r="AE838" s="43"/>
      <c r="AF838" s="43"/>
      <c r="AG838" s="43"/>
      <c r="AH838" s="43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</row>
    <row r="839" spans="1:61" ht="15.75" customHeight="1" x14ac:dyDescent="0.5">
      <c r="A839" s="49"/>
      <c r="B839" s="43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43"/>
      <c r="R839" s="43"/>
      <c r="S839" s="43"/>
      <c r="T839" s="43"/>
      <c r="U839" s="43"/>
      <c r="V839" s="43"/>
      <c r="W839" s="43"/>
      <c r="X839" s="43"/>
      <c r="Y839" s="43"/>
      <c r="Z839" s="43"/>
      <c r="AA839" s="43"/>
      <c r="AB839" s="43"/>
      <c r="AC839" s="43"/>
      <c r="AD839" s="43"/>
      <c r="AE839" s="43"/>
      <c r="AF839" s="43"/>
      <c r="AG839" s="43"/>
      <c r="AH839" s="43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</row>
    <row r="840" spans="1:61" ht="15.75" customHeight="1" x14ac:dyDescent="0.5">
      <c r="A840" s="49"/>
      <c r="B840" s="43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43"/>
      <c r="R840" s="43"/>
      <c r="S840" s="43"/>
      <c r="T840" s="43"/>
      <c r="U840" s="43"/>
      <c r="V840" s="43"/>
      <c r="W840" s="43"/>
      <c r="X840" s="43"/>
      <c r="Y840" s="43"/>
      <c r="Z840" s="43"/>
      <c r="AA840" s="43"/>
      <c r="AB840" s="43"/>
      <c r="AC840" s="43"/>
      <c r="AD840" s="43"/>
      <c r="AE840" s="43"/>
      <c r="AF840" s="43"/>
      <c r="AG840" s="43"/>
      <c r="AH840" s="43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</row>
    <row r="841" spans="1:61" ht="15.75" customHeight="1" x14ac:dyDescent="0.5">
      <c r="A841" s="49"/>
      <c r="B841" s="43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43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43"/>
      <c r="AC841" s="43"/>
      <c r="AD841" s="43"/>
      <c r="AE841" s="43"/>
      <c r="AF841" s="43"/>
      <c r="AG841" s="43"/>
      <c r="AH841" s="43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</row>
    <row r="842" spans="1:61" ht="15.75" customHeight="1" x14ac:dyDescent="0.5">
      <c r="A842" s="49"/>
      <c r="B842" s="43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43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43"/>
      <c r="AC842" s="43"/>
      <c r="AD842" s="43"/>
      <c r="AE842" s="43"/>
      <c r="AF842" s="43"/>
      <c r="AG842" s="43"/>
      <c r="AH842" s="43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</row>
    <row r="843" spans="1:61" ht="15.75" customHeight="1" x14ac:dyDescent="0.5">
      <c r="A843" s="49"/>
      <c r="B843" s="43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43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43"/>
      <c r="AC843" s="43"/>
      <c r="AD843" s="43"/>
      <c r="AE843" s="43"/>
      <c r="AF843" s="43"/>
      <c r="AG843" s="43"/>
      <c r="AH843" s="43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</row>
    <row r="844" spans="1:61" ht="15.75" customHeight="1" x14ac:dyDescent="0.5">
      <c r="A844" s="49"/>
      <c r="B844" s="43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43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43"/>
      <c r="AC844" s="43"/>
      <c r="AD844" s="43"/>
      <c r="AE844" s="43"/>
      <c r="AF844" s="43"/>
      <c r="AG844" s="43"/>
      <c r="AH844" s="43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</row>
    <row r="845" spans="1:61" ht="15.75" customHeight="1" x14ac:dyDescent="0.5">
      <c r="A845" s="49"/>
      <c r="B845" s="43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43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43"/>
      <c r="AC845" s="43"/>
      <c r="AD845" s="43"/>
      <c r="AE845" s="43"/>
      <c r="AF845" s="43"/>
      <c r="AG845" s="43"/>
      <c r="AH845" s="43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</row>
    <row r="846" spans="1:61" ht="15.75" customHeight="1" x14ac:dyDescent="0.5">
      <c r="A846" s="49"/>
      <c r="B846" s="43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  <c r="AC846" s="43"/>
      <c r="AD846" s="43"/>
      <c r="AE846" s="43"/>
      <c r="AF846" s="43"/>
      <c r="AG846" s="43"/>
      <c r="AH846" s="43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</row>
    <row r="847" spans="1:61" ht="15.75" customHeight="1" x14ac:dyDescent="0.5">
      <c r="A847" s="49"/>
      <c r="B847" s="43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  <c r="AC847" s="43"/>
      <c r="AD847" s="43"/>
      <c r="AE847" s="43"/>
      <c r="AF847" s="43"/>
      <c r="AG847" s="43"/>
      <c r="AH847" s="43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</row>
    <row r="848" spans="1:61" ht="15.75" customHeight="1" x14ac:dyDescent="0.5">
      <c r="A848" s="49"/>
      <c r="B848" s="43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43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43"/>
      <c r="AC848" s="43"/>
      <c r="AD848" s="43"/>
      <c r="AE848" s="43"/>
      <c r="AF848" s="43"/>
      <c r="AG848" s="43"/>
      <c r="AH848" s="43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</row>
    <row r="849" spans="1:61" ht="15.75" customHeight="1" x14ac:dyDescent="0.5">
      <c r="A849" s="49"/>
      <c r="B849" s="43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  <c r="AC849" s="43"/>
      <c r="AD849" s="43"/>
      <c r="AE849" s="43"/>
      <c r="AF849" s="43"/>
      <c r="AG849" s="43"/>
      <c r="AH849" s="43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</row>
    <row r="850" spans="1:61" ht="15.75" customHeight="1" x14ac:dyDescent="0.5">
      <c r="A850" s="49"/>
      <c r="B850" s="43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  <c r="AC850" s="43"/>
      <c r="AD850" s="43"/>
      <c r="AE850" s="43"/>
      <c r="AF850" s="43"/>
      <c r="AG850" s="43"/>
      <c r="AH850" s="43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</row>
    <row r="851" spans="1:61" ht="15.75" customHeight="1" x14ac:dyDescent="0.5">
      <c r="A851" s="49"/>
      <c r="B851" s="43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  <c r="AC851" s="43"/>
      <c r="AD851" s="43"/>
      <c r="AE851" s="43"/>
      <c r="AF851" s="43"/>
      <c r="AG851" s="43"/>
      <c r="AH851" s="43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</row>
    <row r="852" spans="1:61" ht="15.75" customHeight="1" x14ac:dyDescent="0.5">
      <c r="A852" s="49"/>
      <c r="B852" s="43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  <c r="AC852" s="43"/>
      <c r="AD852" s="43"/>
      <c r="AE852" s="43"/>
      <c r="AF852" s="43"/>
      <c r="AG852" s="43"/>
      <c r="AH852" s="43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</row>
    <row r="853" spans="1:61" ht="15.75" customHeight="1" x14ac:dyDescent="0.5">
      <c r="A853" s="49"/>
      <c r="B853" s="43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  <c r="AC853" s="43"/>
      <c r="AD853" s="43"/>
      <c r="AE853" s="43"/>
      <c r="AF853" s="43"/>
      <c r="AG853" s="43"/>
      <c r="AH853" s="43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</row>
    <row r="854" spans="1:61" ht="15.75" customHeight="1" x14ac:dyDescent="0.5">
      <c r="A854" s="49"/>
      <c r="B854" s="43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43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43"/>
      <c r="AC854" s="43"/>
      <c r="AD854" s="43"/>
      <c r="AE854" s="43"/>
      <c r="AF854" s="43"/>
      <c r="AG854" s="43"/>
      <c r="AH854" s="43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</row>
    <row r="855" spans="1:61" ht="15.75" customHeight="1" x14ac:dyDescent="0.5">
      <c r="A855" s="49"/>
      <c r="B855" s="43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43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43"/>
      <c r="AC855" s="43"/>
      <c r="AD855" s="43"/>
      <c r="AE855" s="43"/>
      <c r="AF855" s="43"/>
      <c r="AG855" s="43"/>
      <c r="AH855" s="43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</row>
    <row r="856" spans="1:61" ht="15.75" customHeight="1" x14ac:dyDescent="0.5">
      <c r="A856" s="49"/>
      <c r="B856" s="43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43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43"/>
      <c r="AC856" s="43"/>
      <c r="AD856" s="43"/>
      <c r="AE856" s="43"/>
      <c r="AF856" s="43"/>
      <c r="AG856" s="43"/>
      <c r="AH856" s="43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</row>
    <row r="857" spans="1:61" ht="15.75" customHeight="1" x14ac:dyDescent="0.5">
      <c r="A857" s="49"/>
      <c r="B857" s="43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43"/>
      <c r="R857" s="43"/>
      <c r="S857" s="43"/>
      <c r="T857" s="43"/>
      <c r="U857" s="43"/>
      <c r="V857" s="43"/>
      <c r="W857" s="43"/>
      <c r="X857" s="43"/>
      <c r="Y857" s="43"/>
      <c r="Z857" s="43"/>
      <c r="AA857" s="43"/>
      <c r="AB857" s="43"/>
      <c r="AC857" s="43"/>
      <c r="AD857" s="43"/>
      <c r="AE857" s="43"/>
      <c r="AF857" s="43"/>
      <c r="AG857" s="43"/>
      <c r="AH857" s="43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</row>
    <row r="858" spans="1:61" ht="15.75" customHeight="1" x14ac:dyDescent="0.5">
      <c r="A858" s="49"/>
      <c r="B858" s="43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43"/>
      <c r="R858" s="43"/>
      <c r="S858" s="43"/>
      <c r="T858" s="43"/>
      <c r="U858" s="43"/>
      <c r="V858" s="43"/>
      <c r="W858" s="43"/>
      <c r="X858" s="43"/>
      <c r="Y858" s="43"/>
      <c r="Z858" s="43"/>
      <c r="AA858" s="43"/>
      <c r="AB858" s="43"/>
      <c r="AC858" s="43"/>
      <c r="AD858" s="43"/>
      <c r="AE858" s="43"/>
      <c r="AF858" s="43"/>
      <c r="AG858" s="43"/>
      <c r="AH858" s="43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</row>
    <row r="859" spans="1:61" ht="15.75" customHeight="1" x14ac:dyDescent="0.5">
      <c r="A859" s="49"/>
      <c r="B859" s="43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43"/>
      <c r="R859" s="43"/>
      <c r="S859" s="43"/>
      <c r="T859" s="43"/>
      <c r="U859" s="43"/>
      <c r="V859" s="43"/>
      <c r="W859" s="43"/>
      <c r="X859" s="43"/>
      <c r="Y859" s="43"/>
      <c r="Z859" s="43"/>
      <c r="AA859" s="43"/>
      <c r="AB859" s="43"/>
      <c r="AC859" s="43"/>
      <c r="AD859" s="43"/>
      <c r="AE859" s="43"/>
      <c r="AF859" s="43"/>
      <c r="AG859" s="43"/>
      <c r="AH859" s="43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</row>
    <row r="860" spans="1:61" ht="15.75" customHeight="1" x14ac:dyDescent="0.5">
      <c r="A860" s="49"/>
      <c r="B860" s="43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43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43"/>
      <c r="AC860" s="43"/>
      <c r="AD860" s="43"/>
      <c r="AE860" s="43"/>
      <c r="AF860" s="43"/>
      <c r="AG860" s="43"/>
      <c r="AH860" s="43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</row>
    <row r="861" spans="1:61" ht="15.75" customHeight="1" x14ac:dyDescent="0.5">
      <c r="A861" s="49"/>
      <c r="B861" s="43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43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43"/>
      <c r="AC861" s="43"/>
      <c r="AD861" s="43"/>
      <c r="AE861" s="43"/>
      <c r="AF861" s="43"/>
      <c r="AG861" s="43"/>
      <c r="AH861" s="43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</row>
    <row r="862" spans="1:61" ht="15.75" customHeight="1" x14ac:dyDescent="0.5">
      <c r="A862" s="49"/>
      <c r="B862" s="43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43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43"/>
      <c r="AC862" s="43"/>
      <c r="AD862" s="43"/>
      <c r="AE862" s="43"/>
      <c r="AF862" s="43"/>
      <c r="AG862" s="43"/>
      <c r="AH862" s="43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</row>
    <row r="863" spans="1:61" ht="15.75" customHeight="1" x14ac:dyDescent="0.5">
      <c r="A863" s="49"/>
      <c r="B863" s="43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43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43"/>
      <c r="AC863" s="43"/>
      <c r="AD863" s="43"/>
      <c r="AE863" s="43"/>
      <c r="AF863" s="43"/>
      <c r="AG863" s="43"/>
      <c r="AH863" s="43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</row>
    <row r="864" spans="1:61" ht="15.75" customHeight="1" x14ac:dyDescent="0.5">
      <c r="A864" s="49"/>
      <c r="B864" s="43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43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43"/>
      <c r="AC864" s="43"/>
      <c r="AD864" s="43"/>
      <c r="AE864" s="43"/>
      <c r="AF864" s="43"/>
      <c r="AG864" s="43"/>
      <c r="AH864" s="43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</row>
    <row r="865" spans="1:61" ht="15.75" customHeight="1" x14ac:dyDescent="0.5">
      <c r="A865" s="49"/>
      <c r="B865" s="43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43"/>
      <c r="R865" s="43"/>
      <c r="S865" s="43"/>
      <c r="T865" s="43"/>
      <c r="U865" s="43"/>
      <c r="V865" s="43"/>
      <c r="W865" s="43"/>
      <c r="X865" s="43"/>
      <c r="Y865" s="43"/>
      <c r="Z865" s="43"/>
      <c r="AA865" s="43"/>
      <c r="AB865" s="43"/>
      <c r="AC865" s="43"/>
      <c r="AD865" s="43"/>
      <c r="AE865" s="43"/>
      <c r="AF865" s="43"/>
      <c r="AG865" s="43"/>
      <c r="AH865" s="43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</row>
    <row r="866" spans="1:61" ht="15.75" customHeight="1" x14ac:dyDescent="0.5">
      <c r="A866" s="49"/>
      <c r="B866" s="43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43"/>
      <c r="R866" s="43"/>
      <c r="S866" s="43"/>
      <c r="T866" s="43"/>
      <c r="U866" s="43"/>
      <c r="V866" s="43"/>
      <c r="W866" s="43"/>
      <c r="X866" s="43"/>
      <c r="Y866" s="43"/>
      <c r="Z866" s="43"/>
      <c r="AA866" s="43"/>
      <c r="AB866" s="43"/>
      <c r="AC866" s="43"/>
      <c r="AD866" s="43"/>
      <c r="AE866" s="43"/>
      <c r="AF866" s="43"/>
      <c r="AG866" s="43"/>
      <c r="AH866" s="43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</row>
    <row r="867" spans="1:61" ht="15.75" customHeight="1" x14ac:dyDescent="0.5">
      <c r="A867" s="49"/>
      <c r="B867" s="43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43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43"/>
      <c r="AC867" s="43"/>
      <c r="AD867" s="43"/>
      <c r="AE867" s="43"/>
      <c r="AF867" s="43"/>
      <c r="AG867" s="43"/>
      <c r="AH867" s="43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</row>
    <row r="868" spans="1:61" ht="15.75" customHeight="1" x14ac:dyDescent="0.5">
      <c r="A868" s="49"/>
      <c r="B868" s="43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43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43"/>
      <c r="AC868" s="43"/>
      <c r="AD868" s="43"/>
      <c r="AE868" s="43"/>
      <c r="AF868" s="43"/>
      <c r="AG868" s="43"/>
      <c r="AH868" s="43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</row>
    <row r="869" spans="1:61" ht="15.75" customHeight="1" x14ac:dyDescent="0.5">
      <c r="A869" s="49"/>
      <c r="B869" s="43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43"/>
      <c r="R869" s="43"/>
      <c r="S869" s="43"/>
      <c r="T869" s="43"/>
      <c r="U869" s="43"/>
      <c r="V869" s="43"/>
      <c r="W869" s="43"/>
      <c r="X869" s="43"/>
      <c r="Y869" s="43"/>
      <c r="Z869" s="43"/>
      <c r="AA869" s="43"/>
      <c r="AB869" s="43"/>
      <c r="AC869" s="43"/>
      <c r="AD869" s="43"/>
      <c r="AE869" s="43"/>
      <c r="AF869" s="43"/>
      <c r="AG869" s="43"/>
      <c r="AH869" s="43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</row>
    <row r="870" spans="1:61" ht="15.75" customHeight="1" x14ac:dyDescent="0.5">
      <c r="A870" s="49"/>
      <c r="B870" s="43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43"/>
      <c r="R870" s="43"/>
      <c r="S870" s="43"/>
      <c r="T870" s="43"/>
      <c r="U870" s="43"/>
      <c r="V870" s="43"/>
      <c r="W870" s="43"/>
      <c r="X870" s="43"/>
      <c r="Y870" s="43"/>
      <c r="Z870" s="43"/>
      <c r="AA870" s="43"/>
      <c r="AB870" s="43"/>
      <c r="AC870" s="43"/>
      <c r="AD870" s="43"/>
      <c r="AE870" s="43"/>
      <c r="AF870" s="43"/>
      <c r="AG870" s="43"/>
      <c r="AH870" s="43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</row>
    <row r="871" spans="1:61" ht="15.75" customHeight="1" x14ac:dyDescent="0.5">
      <c r="A871" s="49"/>
      <c r="B871" s="43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43"/>
      <c r="R871" s="43"/>
      <c r="S871" s="43"/>
      <c r="T871" s="43"/>
      <c r="U871" s="43"/>
      <c r="V871" s="43"/>
      <c r="W871" s="43"/>
      <c r="X871" s="43"/>
      <c r="Y871" s="43"/>
      <c r="Z871" s="43"/>
      <c r="AA871" s="43"/>
      <c r="AB871" s="43"/>
      <c r="AC871" s="43"/>
      <c r="AD871" s="43"/>
      <c r="AE871" s="43"/>
      <c r="AF871" s="43"/>
      <c r="AG871" s="43"/>
      <c r="AH871" s="43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</row>
    <row r="872" spans="1:61" ht="15.75" customHeight="1" x14ac:dyDescent="0.5">
      <c r="A872" s="49"/>
      <c r="B872" s="43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43"/>
      <c r="R872" s="43"/>
      <c r="S872" s="43"/>
      <c r="T872" s="43"/>
      <c r="U872" s="43"/>
      <c r="V872" s="43"/>
      <c r="W872" s="43"/>
      <c r="X872" s="43"/>
      <c r="Y872" s="43"/>
      <c r="Z872" s="43"/>
      <c r="AA872" s="43"/>
      <c r="AB872" s="43"/>
      <c r="AC872" s="43"/>
      <c r="AD872" s="43"/>
      <c r="AE872" s="43"/>
      <c r="AF872" s="43"/>
      <c r="AG872" s="43"/>
      <c r="AH872" s="43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</row>
    <row r="873" spans="1:61" ht="15.75" customHeight="1" x14ac:dyDescent="0.5">
      <c r="A873" s="49"/>
      <c r="B873" s="43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43"/>
      <c r="R873" s="43"/>
      <c r="S873" s="43"/>
      <c r="T873" s="43"/>
      <c r="U873" s="43"/>
      <c r="V873" s="43"/>
      <c r="W873" s="43"/>
      <c r="X873" s="43"/>
      <c r="Y873" s="43"/>
      <c r="Z873" s="43"/>
      <c r="AA873" s="43"/>
      <c r="AB873" s="43"/>
      <c r="AC873" s="43"/>
      <c r="AD873" s="43"/>
      <c r="AE873" s="43"/>
      <c r="AF873" s="43"/>
      <c r="AG873" s="43"/>
      <c r="AH873" s="43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</row>
    <row r="874" spans="1:61" ht="15.75" customHeight="1" x14ac:dyDescent="0.5">
      <c r="A874" s="49"/>
      <c r="B874" s="43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43"/>
      <c r="R874" s="43"/>
      <c r="S874" s="43"/>
      <c r="T874" s="43"/>
      <c r="U874" s="43"/>
      <c r="V874" s="43"/>
      <c r="W874" s="43"/>
      <c r="X874" s="43"/>
      <c r="Y874" s="43"/>
      <c r="Z874" s="43"/>
      <c r="AA874" s="43"/>
      <c r="AB874" s="43"/>
      <c r="AC874" s="43"/>
      <c r="AD874" s="43"/>
      <c r="AE874" s="43"/>
      <c r="AF874" s="43"/>
      <c r="AG874" s="43"/>
      <c r="AH874" s="43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</row>
    <row r="875" spans="1:61" ht="15.75" customHeight="1" x14ac:dyDescent="0.5">
      <c r="A875" s="49"/>
      <c r="B875" s="43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43"/>
      <c r="R875" s="43"/>
      <c r="S875" s="43"/>
      <c r="T875" s="43"/>
      <c r="U875" s="43"/>
      <c r="V875" s="43"/>
      <c r="W875" s="43"/>
      <c r="X875" s="43"/>
      <c r="Y875" s="43"/>
      <c r="Z875" s="43"/>
      <c r="AA875" s="43"/>
      <c r="AB875" s="43"/>
      <c r="AC875" s="43"/>
      <c r="AD875" s="43"/>
      <c r="AE875" s="43"/>
      <c r="AF875" s="43"/>
      <c r="AG875" s="43"/>
      <c r="AH875" s="43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</row>
    <row r="876" spans="1:61" ht="15.75" customHeight="1" x14ac:dyDescent="0.5">
      <c r="A876" s="49"/>
      <c r="B876" s="43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43"/>
      <c r="R876" s="43"/>
      <c r="S876" s="43"/>
      <c r="T876" s="43"/>
      <c r="U876" s="43"/>
      <c r="V876" s="43"/>
      <c r="W876" s="43"/>
      <c r="X876" s="43"/>
      <c r="Y876" s="43"/>
      <c r="Z876" s="43"/>
      <c r="AA876" s="43"/>
      <c r="AB876" s="43"/>
      <c r="AC876" s="43"/>
      <c r="AD876" s="43"/>
      <c r="AE876" s="43"/>
      <c r="AF876" s="43"/>
      <c r="AG876" s="43"/>
      <c r="AH876" s="43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</row>
    <row r="877" spans="1:61" ht="15.75" customHeight="1" x14ac:dyDescent="0.5">
      <c r="A877" s="49"/>
      <c r="B877" s="43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43"/>
      <c r="R877" s="43"/>
      <c r="S877" s="43"/>
      <c r="T877" s="43"/>
      <c r="U877" s="43"/>
      <c r="V877" s="43"/>
      <c r="W877" s="43"/>
      <c r="X877" s="43"/>
      <c r="Y877" s="43"/>
      <c r="Z877" s="43"/>
      <c r="AA877" s="43"/>
      <c r="AB877" s="43"/>
      <c r="AC877" s="43"/>
      <c r="AD877" s="43"/>
      <c r="AE877" s="43"/>
      <c r="AF877" s="43"/>
      <c r="AG877" s="43"/>
      <c r="AH877" s="43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</row>
    <row r="878" spans="1:61" ht="15.75" customHeight="1" x14ac:dyDescent="0.5">
      <c r="A878" s="49"/>
      <c r="B878" s="43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43"/>
      <c r="R878" s="43"/>
      <c r="S878" s="43"/>
      <c r="T878" s="43"/>
      <c r="U878" s="43"/>
      <c r="V878" s="43"/>
      <c r="W878" s="43"/>
      <c r="X878" s="43"/>
      <c r="Y878" s="43"/>
      <c r="Z878" s="43"/>
      <c r="AA878" s="43"/>
      <c r="AB878" s="43"/>
      <c r="AC878" s="43"/>
      <c r="AD878" s="43"/>
      <c r="AE878" s="43"/>
      <c r="AF878" s="43"/>
      <c r="AG878" s="43"/>
      <c r="AH878" s="43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</row>
    <row r="879" spans="1:61" ht="15.75" customHeight="1" x14ac:dyDescent="0.5">
      <c r="A879" s="49"/>
      <c r="B879" s="43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43"/>
      <c r="R879" s="43"/>
      <c r="S879" s="43"/>
      <c r="T879" s="43"/>
      <c r="U879" s="43"/>
      <c r="V879" s="43"/>
      <c r="W879" s="43"/>
      <c r="X879" s="43"/>
      <c r="Y879" s="43"/>
      <c r="Z879" s="43"/>
      <c r="AA879" s="43"/>
      <c r="AB879" s="43"/>
      <c r="AC879" s="43"/>
      <c r="AD879" s="43"/>
      <c r="AE879" s="43"/>
      <c r="AF879" s="43"/>
      <c r="AG879" s="43"/>
      <c r="AH879" s="43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</row>
    <row r="880" spans="1:61" ht="15.75" customHeight="1" x14ac:dyDescent="0.5">
      <c r="A880" s="49"/>
      <c r="B880" s="43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43"/>
      <c r="R880" s="43"/>
      <c r="S880" s="43"/>
      <c r="T880" s="43"/>
      <c r="U880" s="43"/>
      <c r="V880" s="43"/>
      <c r="W880" s="43"/>
      <c r="X880" s="43"/>
      <c r="Y880" s="43"/>
      <c r="Z880" s="43"/>
      <c r="AA880" s="43"/>
      <c r="AB880" s="43"/>
      <c r="AC880" s="43"/>
      <c r="AD880" s="43"/>
      <c r="AE880" s="43"/>
      <c r="AF880" s="43"/>
      <c r="AG880" s="43"/>
      <c r="AH880" s="43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</row>
    <row r="881" spans="1:61" ht="15.75" customHeight="1" x14ac:dyDescent="0.5">
      <c r="A881" s="49"/>
      <c r="B881" s="43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43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43"/>
      <c r="AC881" s="43"/>
      <c r="AD881" s="43"/>
      <c r="AE881" s="43"/>
      <c r="AF881" s="43"/>
      <c r="AG881" s="43"/>
      <c r="AH881" s="43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</row>
    <row r="882" spans="1:61" ht="15.75" customHeight="1" x14ac:dyDescent="0.5">
      <c r="A882" s="49"/>
      <c r="B882" s="43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43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43"/>
      <c r="AC882" s="43"/>
      <c r="AD882" s="43"/>
      <c r="AE882" s="43"/>
      <c r="AF882" s="43"/>
      <c r="AG882" s="43"/>
      <c r="AH882" s="43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</row>
    <row r="883" spans="1:61" ht="15.75" customHeight="1" x14ac:dyDescent="0.5">
      <c r="A883" s="49"/>
      <c r="B883" s="43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43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43"/>
      <c r="AC883" s="43"/>
      <c r="AD883" s="43"/>
      <c r="AE883" s="43"/>
      <c r="AF883" s="43"/>
      <c r="AG883" s="43"/>
      <c r="AH883" s="43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</row>
    <row r="884" spans="1:61" ht="15.75" customHeight="1" x14ac:dyDescent="0.5">
      <c r="A884" s="49"/>
      <c r="B884" s="43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43"/>
      <c r="R884" s="43"/>
      <c r="S884" s="43"/>
      <c r="T884" s="43"/>
      <c r="U884" s="43"/>
      <c r="V884" s="43"/>
      <c r="W884" s="43"/>
      <c r="X884" s="43"/>
      <c r="Y884" s="43"/>
      <c r="Z884" s="43"/>
      <c r="AA884" s="43"/>
      <c r="AB884" s="43"/>
      <c r="AC884" s="43"/>
      <c r="AD884" s="43"/>
      <c r="AE884" s="43"/>
      <c r="AF884" s="43"/>
      <c r="AG884" s="43"/>
      <c r="AH884" s="43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</row>
    <row r="885" spans="1:61" ht="15.75" customHeight="1" x14ac:dyDescent="0.5">
      <c r="A885" s="49"/>
      <c r="B885" s="43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43"/>
      <c r="R885" s="43"/>
      <c r="S885" s="43"/>
      <c r="T885" s="43"/>
      <c r="U885" s="43"/>
      <c r="V885" s="43"/>
      <c r="W885" s="43"/>
      <c r="X885" s="43"/>
      <c r="Y885" s="43"/>
      <c r="Z885" s="43"/>
      <c r="AA885" s="43"/>
      <c r="AB885" s="43"/>
      <c r="AC885" s="43"/>
      <c r="AD885" s="43"/>
      <c r="AE885" s="43"/>
      <c r="AF885" s="43"/>
      <c r="AG885" s="43"/>
      <c r="AH885" s="43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</row>
    <row r="886" spans="1:61" ht="15.75" customHeight="1" x14ac:dyDescent="0.5">
      <c r="A886" s="49"/>
      <c r="B886" s="43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43"/>
      <c r="R886" s="43"/>
      <c r="S886" s="43"/>
      <c r="T886" s="43"/>
      <c r="U886" s="43"/>
      <c r="V886" s="43"/>
      <c r="W886" s="43"/>
      <c r="X886" s="43"/>
      <c r="Y886" s="43"/>
      <c r="Z886" s="43"/>
      <c r="AA886" s="43"/>
      <c r="AB886" s="43"/>
      <c r="AC886" s="43"/>
      <c r="AD886" s="43"/>
      <c r="AE886" s="43"/>
      <c r="AF886" s="43"/>
      <c r="AG886" s="43"/>
      <c r="AH886" s="43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</row>
    <row r="887" spans="1:61" ht="15.75" customHeight="1" x14ac:dyDescent="0.5">
      <c r="A887" s="49"/>
      <c r="B887" s="43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43"/>
      <c r="R887" s="43"/>
      <c r="S887" s="43"/>
      <c r="T887" s="43"/>
      <c r="U887" s="43"/>
      <c r="V887" s="43"/>
      <c r="W887" s="43"/>
      <c r="X887" s="43"/>
      <c r="Y887" s="43"/>
      <c r="Z887" s="43"/>
      <c r="AA887" s="43"/>
      <c r="AB887" s="43"/>
      <c r="AC887" s="43"/>
      <c r="AD887" s="43"/>
      <c r="AE887" s="43"/>
      <c r="AF887" s="43"/>
      <c r="AG887" s="43"/>
      <c r="AH887" s="43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</row>
    <row r="888" spans="1:61" ht="15.75" customHeight="1" x14ac:dyDescent="0.5">
      <c r="A888" s="49"/>
      <c r="B888" s="43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43"/>
      <c r="R888" s="43"/>
      <c r="S888" s="43"/>
      <c r="T888" s="43"/>
      <c r="U888" s="43"/>
      <c r="V888" s="43"/>
      <c r="W888" s="43"/>
      <c r="X888" s="43"/>
      <c r="Y888" s="43"/>
      <c r="Z888" s="43"/>
      <c r="AA888" s="43"/>
      <c r="AB888" s="43"/>
      <c r="AC888" s="43"/>
      <c r="AD888" s="43"/>
      <c r="AE888" s="43"/>
      <c r="AF888" s="43"/>
      <c r="AG888" s="43"/>
      <c r="AH888" s="43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</row>
    <row r="889" spans="1:61" ht="15.75" customHeight="1" x14ac:dyDescent="0.5">
      <c r="A889" s="49"/>
      <c r="B889" s="43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43"/>
      <c r="R889" s="43"/>
      <c r="S889" s="43"/>
      <c r="T889" s="43"/>
      <c r="U889" s="43"/>
      <c r="V889" s="43"/>
      <c r="W889" s="43"/>
      <c r="X889" s="43"/>
      <c r="Y889" s="43"/>
      <c r="Z889" s="43"/>
      <c r="AA889" s="43"/>
      <c r="AB889" s="43"/>
      <c r="AC889" s="43"/>
      <c r="AD889" s="43"/>
      <c r="AE889" s="43"/>
      <c r="AF889" s="43"/>
      <c r="AG889" s="43"/>
      <c r="AH889" s="43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</row>
    <row r="890" spans="1:61" ht="15.75" customHeight="1" x14ac:dyDescent="0.5">
      <c r="A890" s="49"/>
      <c r="B890" s="43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43"/>
      <c r="R890" s="43"/>
      <c r="S890" s="43"/>
      <c r="T890" s="43"/>
      <c r="U890" s="43"/>
      <c r="V890" s="43"/>
      <c r="W890" s="43"/>
      <c r="X890" s="43"/>
      <c r="Y890" s="43"/>
      <c r="Z890" s="43"/>
      <c r="AA890" s="43"/>
      <c r="AB890" s="43"/>
      <c r="AC890" s="43"/>
      <c r="AD890" s="43"/>
      <c r="AE890" s="43"/>
      <c r="AF890" s="43"/>
      <c r="AG890" s="43"/>
      <c r="AH890" s="43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</row>
    <row r="891" spans="1:61" ht="15.75" customHeight="1" x14ac:dyDescent="0.5">
      <c r="A891" s="49"/>
      <c r="B891" s="43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43"/>
      <c r="R891" s="43"/>
      <c r="S891" s="43"/>
      <c r="T891" s="43"/>
      <c r="U891" s="43"/>
      <c r="V891" s="43"/>
      <c r="W891" s="43"/>
      <c r="X891" s="43"/>
      <c r="Y891" s="43"/>
      <c r="Z891" s="43"/>
      <c r="AA891" s="43"/>
      <c r="AB891" s="43"/>
      <c r="AC891" s="43"/>
      <c r="AD891" s="43"/>
      <c r="AE891" s="43"/>
      <c r="AF891" s="43"/>
      <c r="AG891" s="43"/>
      <c r="AH891" s="43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</row>
    <row r="892" spans="1:61" ht="15.75" customHeight="1" x14ac:dyDescent="0.5">
      <c r="A892" s="49"/>
      <c r="B892" s="43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43"/>
      <c r="R892" s="43"/>
      <c r="S892" s="43"/>
      <c r="T892" s="43"/>
      <c r="U892" s="43"/>
      <c r="V892" s="43"/>
      <c r="W892" s="43"/>
      <c r="X892" s="43"/>
      <c r="Y892" s="43"/>
      <c r="Z892" s="43"/>
      <c r="AA892" s="43"/>
      <c r="AB892" s="43"/>
      <c r="AC892" s="43"/>
      <c r="AD892" s="43"/>
      <c r="AE892" s="43"/>
      <c r="AF892" s="43"/>
      <c r="AG892" s="43"/>
      <c r="AH892" s="43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</row>
    <row r="893" spans="1:61" ht="15.75" customHeight="1" x14ac:dyDescent="0.5">
      <c r="A893" s="49"/>
      <c r="B893" s="43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43"/>
      <c r="R893" s="43"/>
      <c r="S893" s="43"/>
      <c r="T893" s="43"/>
      <c r="U893" s="43"/>
      <c r="V893" s="43"/>
      <c r="W893" s="43"/>
      <c r="X893" s="43"/>
      <c r="Y893" s="43"/>
      <c r="Z893" s="43"/>
      <c r="AA893" s="43"/>
      <c r="AB893" s="43"/>
      <c r="AC893" s="43"/>
      <c r="AD893" s="43"/>
      <c r="AE893" s="43"/>
      <c r="AF893" s="43"/>
      <c r="AG893" s="43"/>
      <c r="AH893" s="43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</row>
    <row r="894" spans="1:61" ht="15.75" customHeight="1" x14ac:dyDescent="0.5">
      <c r="A894" s="49"/>
      <c r="B894" s="43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43"/>
      <c r="R894" s="43"/>
      <c r="S894" s="43"/>
      <c r="T894" s="43"/>
      <c r="U894" s="43"/>
      <c r="V894" s="43"/>
      <c r="W894" s="43"/>
      <c r="X894" s="43"/>
      <c r="Y894" s="43"/>
      <c r="Z894" s="43"/>
      <c r="AA894" s="43"/>
      <c r="AB894" s="43"/>
      <c r="AC894" s="43"/>
      <c r="AD894" s="43"/>
      <c r="AE894" s="43"/>
      <c r="AF894" s="43"/>
      <c r="AG894" s="43"/>
      <c r="AH894" s="43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</row>
    <row r="895" spans="1:61" ht="15.75" customHeight="1" x14ac:dyDescent="0.5">
      <c r="A895" s="49"/>
      <c r="B895" s="43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43"/>
      <c r="R895" s="43"/>
      <c r="S895" s="43"/>
      <c r="T895" s="43"/>
      <c r="U895" s="43"/>
      <c r="V895" s="43"/>
      <c r="W895" s="43"/>
      <c r="X895" s="43"/>
      <c r="Y895" s="43"/>
      <c r="Z895" s="43"/>
      <c r="AA895" s="43"/>
      <c r="AB895" s="43"/>
      <c r="AC895" s="43"/>
      <c r="AD895" s="43"/>
      <c r="AE895" s="43"/>
      <c r="AF895" s="43"/>
      <c r="AG895" s="43"/>
      <c r="AH895" s="43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</row>
    <row r="896" spans="1:61" ht="15.75" customHeight="1" x14ac:dyDescent="0.5">
      <c r="A896" s="49"/>
      <c r="B896" s="43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43"/>
      <c r="R896" s="43"/>
      <c r="S896" s="43"/>
      <c r="T896" s="43"/>
      <c r="U896" s="43"/>
      <c r="V896" s="43"/>
      <c r="W896" s="43"/>
      <c r="X896" s="43"/>
      <c r="Y896" s="43"/>
      <c r="Z896" s="43"/>
      <c r="AA896" s="43"/>
      <c r="AB896" s="43"/>
      <c r="AC896" s="43"/>
      <c r="AD896" s="43"/>
      <c r="AE896" s="43"/>
      <c r="AF896" s="43"/>
      <c r="AG896" s="43"/>
      <c r="AH896" s="43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</row>
    <row r="897" spans="1:61" ht="15.75" customHeight="1" x14ac:dyDescent="0.5">
      <c r="A897" s="49"/>
      <c r="B897" s="43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43"/>
      <c r="R897" s="43"/>
      <c r="S897" s="43"/>
      <c r="T897" s="43"/>
      <c r="U897" s="43"/>
      <c r="V897" s="43"/>
      <c r="W897" s="43"/>
      <c r="X897" s="43"/>
      <c r="Y897" s="43"/>
      <c r="Z897" s="43"/>
      <c r="AA897" s="43"/>
      <c r="AB897" s="43"/>
      <c r="AC897" s="43"/>
      <c r="AD897" s="43"/>
      <c r="AE897" s="43"/>
      <c r="AF897" s="43"/>
      <c r="AG897" s="43"/>
      <c r="AH897" s="43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</row>
    <row r="898" spans="1:61" ht="15.75" customHeight="1" x14ac:dyDescent="0.5">
      <c r="A898" s="49"/>
      <c r="B898" s="43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43"/>
      <c r="R898" s="43"/>
      <c r="S898" s="43"/>
      <c r="T898" s="43"/>
      <c r="U898" s="43"/>
      <c r="V898" s="43"/>
      <c r="W898" s="43"/>
      <c r="X898" s="43"/>
      <c r="Y898" s="43"/>
      <c r="Z898" s="43"/>
      <c r="AA898" s="43"/>
      <c r="AB898" s="43"/>
      <c r="AC898" s="43"/>
      <c r="AD898" s="43"/>
      <c r="AE898" s="43"/>
      <c r="AF898" s="43"/>
      <c r="AG898" s="43"/>
      <c r="AH898" s="43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</row>
    <row r="899" spans="1:61" ht="15.75" customHeight="1" x14ac:dyDescent="0.5">
      <c r="A899" s="49"/>
      <c r="B899" s="43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43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43"/>
      <c r="AC899" s="43"/>
      <c r="AD899" s="43"/>
      <c r="AE899" s="43"/>
      <c r="AF899" s="43"/>
      <c r="AG899" s="43"/>
      <c r="AH899" s="43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</row>
    <row r="900" spans="1:61" ht="15.75" customHeight="1" x14ac:dyDescent="0.5">
      <c r="A900" s="49"/>
      <c r="B900" s="43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43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43"/>
      <c r="AC900" s="43"/>
      <c r="AD900" s="43"/>
      <c r="AE900" s="43"/>
      <c r="AF900" s="43"/>
      <c r="AG900" s="43"/>
      <c r="AH900" s="43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</row>
    <row r="901" spans="1:61" ht="15.75" customHeight="1" x14ac:dyDescent="0.5">
      <c r="A901" s="49"/>
      <c r="B901" s="43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43"/>
      <c r="R901" s="43"/>
      <c r="S901" s="43"/>
      <c r="T901" s="43"/>
      <c r="U901" s="43"/>
      <c r="V901" s="43"/>
      <c r="W901" s="43"/>
      <c r="X901" s="43"/>
      <c r="Y901" s="43"/>
      <c r="Z901" s="43"/>
      <c r="AA901" s="43"/>
      <c r="AB901" s="43"/>
      <c r="AC901" s="43"/>
      <c r="AD901" s="43"/>
      <c r="AE901" s="43"/>
      <c r="AF901" s="43"/>
      <c r="AG901" s="43"/>
      <c r="AH901" s="43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</row>
    <row r="902" spans="1:61" ht="15.75" customHeight="1" x14ac:dyDescent="0.5">
      <c r="A902" s="49"/>
      <c r="B902" s="43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43"/>
      <c r="R902" s="43"/>
      <c r="S902" s="43"/>
      <c r="T902" s="43"/>
      <c r="U902" s="43"/>
      <c r="V902" s="43"/>
      <c r="W902" s="43"/>
      <c r="X902" s="43"/>
      <c r="Y902" s="43"/>
      <c r="Z902" s="43"/>
      <c r="AA902" s="43"/>
      <c r="AB902" s="43"/>
      <c r="AC902" s="43"/>
      <c r="AD902" s="43"/>
      <c r="AE902" s="43"/>
      <c r="AF902" s="43"/>
      <c r="AG902" s="43"/>
      <c r="AH902" s="43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</row>
    <row r="903" spans="1:61" ht="15.75" customHeight="1" x14ac:dyDescent="0.5">
      <c r="A903" s="49"/>
      <c r="B903" s="43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43"/>
      <c r="R903" s="43"/>
      <c r="S903" s="43"/>
      <c r="T903" s="43"/>
      <c r="U903" s="43"/>
      <c r="V903" s="43"/>
      <c r="W903" s="43"/>
      <c r="X903" s="43"/>
      <c r="Y903" s="43"/>
      <c r="Z903" s="43"/>
      <c r="AA903" s="43"/>
      <c r="AB903" s="43"/>
      <c r="AC903" s="43"/>
      <c r="AD903" s="43"/>
      <c r="AE903" s="43"/>
      <c r="AF903" s="43"/>
      <c r="AG903" s="43"/>
      <c r="AH903" s="43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</row>
    <row r="904" spans="1:61" ht="15.75" customHeight="1" x14ac:dyDescent="0.5">
      <c r="A904" s="49"/>
      <c r="B904" s="43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43"/>
      <c r="R904" s="43"/>
      <c r="S904" s="43"/>
      <c r="T904" s="43"/>
      <c r="U904" s="43"/>
      <c r="V904" s="43"/>
      <c r="W904" s="43"/>
      <c r="X904" s="43"/>
      <c r="Y904" s="43"/>
      <c r="Z904" s="43"/>
      <c r="AA904" s="43"/>
      <c r="AB904" s="43"/>
      <c r="AC904" s="43"/>
      <c r="AD904" s="43"/>
      <c r="AE904" s="43"/>
      <c r="AF904" s="43"/>
      <c r="AG904" s="43"/>
      <c r="AH904" s="43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</row>
    <row r="905" spans="1:61" ht="15.75" customHeight="1" x14ac:dyDescent="0.5">
      <c r="A905" s="49"/>
      <c r="B905" s="43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43"/>
      <c r="R905" s="43"/>
      <c r="S905" s="43"/>
      <c r="T905" s="43"/>
      <c r="U905" s="43"/>
      <c r="V905" s="43"/>
      <c r="W905" s="43"/>
      <c r="X905" s="43"/>
      <c r="Y905" s="43"/>
      <c r="Z905" s="43"/>
      <c r="AA905" s="43"/>
      <c r="AB905" s="43"/>
      <c r="AC905" s="43"/>
      <c r="AD905" s="43"/>
      <c r="AE905" s="43"/>
      <c r="AF905" s="43"/>
      <c r="AG905" s="43"/>
      <c r="AH905" s="43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</row>
    <row r="906" spans="1:61" ht="15.75" customHeight="1" x14ac:dyDescent="0.5">
      <c r="A906" s="49"/>
      <c r="B906" s="43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43"/>
      <c r="R906" s="43"/>
      <c r="S906" s="43"/>
      <c r="T906" s="43"/>
      <c r="U906" s="43"/>
      <c r="V906" s="43"/>
      <c r="W906" s="43"/>
      <c r="X906" s="43"/>
      <c r="Y906" s="43"/>
      <c r="Z906" s="43"/>
      <c r="AA906" s="43"/>
      <c r="AB906" s="43"/>
      <c r="AC906" s="43"/>
      <c r="AD906" s="43"/>
      <c r="AE906" s="43"/>
      <c r="AF906" s="43"/>
      <c r="AG906" s="43"/>
      <c r="AH906" s="43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</row>
    <row r="907" spans="1:61" ht="15.75" customHeight="1" x14ac:dyDescent="0.5">
      <c r="A907" s="49"/>
      <c r="B907" s="43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43"/>
      <c r="R907" s="43"/>
      <c r="S907" s="43"/>
      <c r="T907" s="43"/>
      <c r="U907" s="43"/>
      <c r="V907" s="43"/>
      <c r="W907" s="43"/>
      <c r="X907" s="43"/>
      <c r="Y907" s="43"/>
      <c r="Z907" s="43"/>
      <c r="AA907" s="43"/>
      <c r="AB907" s="43"/>
      <c r="AC907" s="43"/>
      <c r="AD907" s="43"/>
      <c r="AE907" s="43"/>
      <c r="AF907" s="43"/>
      <c r="AG907" s="43"/>
      <c r="AH907" s="43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</row>
    <row r="908" spans="1:61" ht="15.75" customHeight="1" x14ac:dyDescent="0.5">
      <c r="A908" s="49"/>
      <c r="B908" s="43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43"/>
      <c r="R908" s="43"/>
      <c r="S908" s="43"/>
      <c r="T908" s="43"/>
      <c r="U908" s="43"/>
      <c r="V908" s="43"/>
      <c r="W908" s="43"/>
      <c r="X908" s="43"/>
      <c r="Y908" s="43"/>
      <c r="Z908" s="43"/>
      <c r="AA908" s="43"/>
      <c r="AB908" s="43"/>
      <c r="AC908" s="43"/>
      <c r="AD908" s="43"/>
      <c r="AE908" s="43"/>
      <c r="AF908" s="43"/>
      <c r="AG908" s="43"/>
      <c r="AH908" s="43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</row>
    <row r="909" spans="1:61" ht="15.75" customHeight="1" x14ac:dyDescent="0.5">
      <c r="A909" s="49"/>
      <c r="B909" s="43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43"/>
      <c r="R909" s="43"/>
      <c r="S909" s="43"/>
      <c r="T909" s="43"/>
      <c r="U909" s="43"/>
      <c r="V909" s="43"/>
      <c r="W909" s="43"/>
      <c r="X909" s="43"/>
      <c r="Y909" s="43"/>
      <c r="Z909" s="43"/>
      <c r="AA909" s="43"/>
      <c r="AB909" s="43"/>
      <c r="AC909" s="43"/>
      <c r="AD909" s="43"/>
      <c r="AE909" s="43"/>
      <c r="AF909" s="43"/>
      <c r="AG909" s="43"/>
      <c r="AH909" s="43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</row>
    <row r="910" spans="1:61" ht="15.75" customHeight="1" x14ac:dyDescent="0.5">
      <c r="A910" s="49"/>
      <c r="B910" s="43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43"/>
      <c r="R910" s="43"/>
      <c r="S910" s="43"/>
      <c r="T910" s="43"/>
      <c r="U910" s="43"/>
      <c r="V910" s="43"/>
      <c r="W910" s="43"/>
      <c r="X910" s="43"/>
      <c r="Y910" s="43"/>
      <c r="Z910" s="43"/>
      <c r="AA910" s="43"/>
      <c r="AB910" s="43"/>
      <c r="AC910" s="43"/>
      <c r="AD910" s="43"/>
      <c r="AE910" s="43"/>
      <c r="AF910" s="43"/>
      <c r="AG910" s="43"/>
      <c r="AH910" s="43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</row>
    <row r="911" spans="1:61" ht="15.75" customHeight="1" x14ac:dyDescent="0.5">
      <c r="A911" s="49"/>
      <c r="B911" s="43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43"/>
      <c r="R911" s="43"/>
      <c r="S911" s="43"/>
      <c r="T911" s="43"/>
      <c r="U911" s="43"/>
      <c r="V911" s="43"/>
      <c r="W911" s="43"/>
      <c r="X911" s="43"/>
      <c r="Y911" s="43"/>
      <c r="Z911" s="43"/>
      <c r="AA911" s="43"/>
      <c r="AB911" s="43"/>
      <c r="AC911" s="43"/>
      <c r="AD911" s="43"/>
      <c r="AE911" s="43"/>
      <c r="AF911" s="43"/>
      <c r="AG911" s="43"/>
      <c r="AH911" s="43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</row>
    <row r="912" spans="1:61" ht="15.75" customHeight="1" x14ac:dyDescent="0.5">
      <c r="A912" s="49"/>
      <c r="B912" s="43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43"/>
      <c r="R912" s="43"/>
      <c r="S912" s="43"/>
      <c r="T912" s="43"/>
      <c r="U912" s="43"/>
      <c r="V912" s="43"/>
      <c r="W912" s="43"/>
      <c r="X912" s="43"/>
      <c r="Y912" s="43"/>
      <c r="Z912" s="43"/>
      <c r="AA912" s="43"/>
      <c r="AB912" s="43"/>
      <c r="AC912" s="43"/>
      <c r="AD912" s="43"/>
      <c r="AE912" s="43"/>
      <c r="AF912" s="43"/>
      <c r="AG912" s="43"/>
      <c r="AH912" s="43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</row>
    <row r="913" spans="1:61" ht="15.75" customHeight="1" x14ac:dyDescent="0.5">
      <c r="A913" s="49"/>
      <c r="B913" s="43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43"/>
      <c r="R913" s="43"/>
      <c r="S913" s="43"/>
      <c r="T913" s="43"/>
      <c r="U913" s="43"/>
      <c r="V913" s="43"/>
      <c r="W913" s="43"/>
      <c r="X913" s="43"/>
      <c r="Y913" s="43"/>
      <c r="Z913" s="43"/>
      <c r="AA913" s="43"/>
      <c r="AB913" s="43"/>
      <c r="AC913" s="43"/>
      <c r="AD913" s="43"/>
      <c r="AE913" s="43"/>
      <c r="AF913" s="43"/>
      <c r="AG913" s="43"/>
      <c r="AH913" s="43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</row>
    <row r="914" spans="1:61" ht="15.75" customHeight="1" x14ac:dyDescent="0.5">
      <c r="A914" s="49"/>
      <c r="B914" s="43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43"/>
      <c r="R914" s="43"/>
      <c r="S914" s="43"/>
      <c r="T914" s="43"/>
      <c r="U914" s="43"/>
      <c r="V914" s="43"/>
      <c r="W914" s="43"/>
      <c r="X914" s="43"/>
      <c r="Y914" s="43"/>
      <c r="Z914" s="43"/>
      <c r="AA914" s="43"/>
      <c r="AB914" s="43"/>
      <c r="AC914" s="43"/>
      <c r="AD914" s="43"/>
      <c r="AE914" s="43"/>
      <c r="AF914" s="43"/>
      <c r="AG914" s="43"/>
      <c r="AH914" s="43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</row>
    <row r="915" spans="1:61" ht="15.75" customHeight="1" x14ac:dyDescent="0.5">
      <c r="A915" s="49"/>
      <c r="B915" s="43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43"/>
      <c r="R915" s="43"/>
      <c r="S915" s="43"/>
      <c r="T915" s="43"/>
      <c r="U915" s="43"/>
      <c r="V915" s="43"/>
      <c r="W915" s="43"/>
      <c r="X915" s="43"/>
      <c r="Y915" s="43"/>
      <c r="Z915" s="43"/>
      <c r="AA915" s="43"/>
      <c r="AB915" s="43"/>
      <c r="AC915" s="43"/>
      <c r="AD915" s="43"/>
      <c r="AE915" s="43"/>
      <c r="AF915" s="43"/>
      <c r="AG915" s="43"/>
      <c r="AH915" s="43"/>
      <c r="AI915" s="43"/>
      <c r="AJ915" s="43"/>
      <c r="AK915" s="43"/>
      <c r="AL915" s="43"/>
      <c r="AM915" s="43"/>
      <c r="AN915" s="43"/>
      <c r="AO915" s="43"/>
      <c r="AP915" s="43"/>
      <c r="AQ915" s="43"/>
      <c r="AR915" s="43"/>
      <c r="AS915" s="43"/>
      <c r="AT915" s="43"/>
      <c r="AU915" s="43"/>
      <c r="AV915" s="43"/>
      <c r="AW915" s="43"/>
      <c r="AX915" s="43"/>
      <c r="AY915" s="43"/>
      <c r="AZ915" s="43"/>
      <c r="BA915" s="43"/>
      <c r="BB915" s="1"/>
      <c r="BC915" s="1"/>
      <c r="BD915" s="1"/>
      <c r="BE915" s="1"/>
      <c r="BF915" s="1"/>
      <c r="BG915" s="1"/>
      <c r="BH915" s="1"/>
      <c r="BI915" s="1"/>
    </row>
    <row r="916" spans="1:61" ht="15.75" customHeight="1" x14ac:dyDescent="0.5">
      <c r="A916" s="49"/>
      <c r="B916" s="43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43"/>
      <c r="R916" s="43"/>
      <c r="S916" s="43"/>
      <c r="T916" s="43"/>
      <c r="U916" s="43"/>
      <c r="V916" s="43"/>
      <c r="W916" s="43"/>
      <c r="X916" s="43"/>
      <c r="Y916" s="43"/>
      <c r="Z916" s="43"/>
      <c r="AA916" s="43"/>
      <c r="AB916" s="43"/>
      <c r="AC916" s="43"/>
      <c r="AD916" s="43"/>
      <c r="AE916" s="43"/>
      <c r="AF916" s="43"/>
      <c r="AG916" s="43"/>
      <c r="AH916" s="43"/>
      <c r="AI916" s="43"/>
      <c r="AJ916" s="43"/>
      <c r="AK916" s="43"/>
      <c r="AL916" s="43"/>
      <c r="AM916" s="43"/>
      <c r="AN916" s="43"/>
      <c r="AO916" s="43"/>
      <c r="AP916" s="43"/>
      <c r="AQ916" s="43"/>
      <c r="AR916" s="43"/>
      <c r="AS916" s="43"/>
      <c r="AT916" s="43"/>
      <c r="AU916" s="43"/>
      <c r="AV916" s="43"/>
      <c r="AW916" s="43"/>
      <c r="AX916" s="43"/>
      <c r="AY916" s="43"/>
      <c r="AZ916" s="43"/>
      <c r="BA916" s="43"/>
      <c r="BB916" s="1"/>
      <c r="BC916" s="1"/>
      <c r="BD916" s="1"/>
      <c r="BE916" s="1"/>
      <c r="BF916" s="1"/>
      <c r="BG916" s="1"/>
      <c r="BH916" s="1"/>
      <c r="BI916" s="1"/>
    </row>
    <row r="917" spans="1:61" ht="15.75" customHeight="1" x14ac:dyDescent="0.5">
      <c r="A917" s="49"/>
      <c r="B917" s="43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43"/>
      <c r="R917" s="43"/>
      <c r="S917" s="43"/>
      <c r="T917" s="43"/>
      <c r="U917" s="43"/>
      <c r="V917" s="43"/>
      <c r="W917" s="43"/>
      <c r="X917" s="43"/>
      <c r="Y917" s="43"/>
      <c r="Z917" s="43"/>
      <c r="AA917" s="43"/>
      <c r="AB917" s="43"/>
      <c r="AC917" s="43"/>
      <c r="AD917" s="43"/>
      <c r="AE917" s="43"/>
      <c r="AF917" s="43"/>
      <c r="AG917" s="43"/>
      <c r="AH917" s="43"/>
      <c r="AI917" s="43"/>
      <c r="AJ917" s="43"/>
      <c r="AK917" s="43"/>
      <c r="AL917" s="43"/>
      <c r="AM917" s="43"/>
      <c r="AN917" s="43"/>
      <c r="AO917" s="43"/>
      <c r="AP917" s="43"/>
      <c r="AQ917" s="43"/>
      <c r="AR917" s="43"/>
      <c r="AS917" s="43"/>
      <c r="AT917" s="43"/>
      <c r="AU917" s="43"/>
      <c r="AV917" s="43"/>
      <c r="AW917" s="43"/>
      <c r="AX917" s="43"/>
      <c r="AY917" s="43"/>
      <c r="AZ917" s="43"/>
      <c r="BA917" s="43"/>
      <c r="BB917" s="1"/>
      <c r="BC917" s="1"/>
      <c r="BD917" s="1"/>
      <c r="BE917" s="1"/>
      <c r="BF917" s="1"/>
      <c r="BG917" s="1"/>
      <c r="BH917" s="1"/>
      <c r="BI917" s="1"/>
    </row>
    <row r="918" spans="1:61" ht="15.75" customHeight="1" x14ac:dyDescent="0.5">
      <c r="A918" s="49"/>
      <c r="B918" s="43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43"/>
      <c r="R918" s="43"/>
      <c r="S918" s="43"/>
      <c r="T918" s="43"/>
      <c r="U918" s="43"/>
      <c r="V918" s="43"/>
      <c r="W918" s="43"/>
      <c r="X918" s="43"/>
      <c r="Y918" s="43"/>
      <c r="Z918" s="43"/>
      <c r="AA918" s="43"/>
      <c r="AB918" s="43"/>
      <c r="AC918" s="43"/>
      <c r="AD918" s="43"/>
      <c r="AE918" s="43"/>
      <c r="AF918" s="43"/>
      <c r="AG918" s="43"/>
      <c r="AH918" s="43"/>
      <c r="AI918" s="43"/>
      <c r="AJ918" s="43"/>
      <c r="AK918" s="43"/>
      <c r="AL918" s="43"/>
      <c r="AM918" s="43"/>
      <c r="AN918" s="43"/>
      <c r="AO918" s="43"/>
      <c r="AP918" s="43"/>
      <c r="AQ918" s="43"/>
      <c r="AR918" s="43"/>
      <c r="AS918" s="43"/>
      <c r="AT918" s="43"/>
      <c r="AU918" s="43"/>
      <c r="AV918" s="43"/>
      <c r="AW918" s="43"/>
      <c r="AX918" s="43"/>
      <c r="AY918" s="43"/>
      <c r="AZ918" s="43"/>
      <c r="BA918" s="43"/>
      <c r="BB918" s="1"/>
      <c r="BC918" s="1"/>
      <c r="BD918" s="1"/>
      <c r="BE918" s="1"/>
      <c r="BF918" s="1"/>
      <c r="BG918" s="1"/>
      <c r="BH918" s="1"/>
      <c r="BI918" s="1"/>
    </row>
    <row r="919" spans="1:61" ht="15.75" customHeight="1" x14ac:dyDescent="0.5">
      <c r="A919" s="49"/>
      <c r="B919" s="43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43"/>
      <c r="R919" s="43"/>
      <c r="S919" s="43"/>
      <c r="T919" s="43"/>
      <c r="U919" s="43"/>
      <c r="V919" s="43"/>
      <c r="W919" s="43"/>
      <c r="X919" s="43"/>
      <c r="Y919" s="43"/>
      <c r="Z919" s="43"/>
      <c r="AA919" s="43"/>
      <c r="AB919" s="43"/>
      <c r="AC919" s="43"/>
      <c r="AD919" s="43"/>
      <c r="AE919" s="43"/>
      <c r="AF919" s="43"/>
      <c r="AG919" s="43"/>
      <c r="AH919" s="43"/>
      <c r="AI919" s="43"/>
      <c r="AJ919" s="43"/>
      <c r="AK919" s="43"/>
      <c r="AL919" s="43"/>
      <c r="AM919" s="43"/>
      <c r="AN919" s="43"/>
      <c r="AO919" s="43"/>
      <c r="AP919" s="43"/>
      <c r="AQ919" s="43"/>
      <c r="AR919" s="43"/>
      <c r="AS919" s="43"/>
      <c r="AT919" s="43"/>
      <c r="AU919" s="43"/>
      <c r="AV919" s="43"/>
      <c r="AW919" s="43"/>
      <c r="AX919" s="43"/>
      <c r="AY919" s="43"/>
      <c r="AZ919" s="43"/>
      <c r="BA919" s="43"/>
      <c r="BB919" s="1"/>
      <c r="BC919" s="1"/>
      <c r="BD919" s="1"/>
      <c r="BE919" s="1"/>
      <c r="BF919" s="1"/>
      <c r="BG919" s="1"/>
      <c r="BH919" s="1"/>
      <c r="BI919" s="1"/>
    </row>
    <row r="920" spans="1:61" ht="15.75" customHeight="1" x14ac:dyDescent="0.5">
      <c r="A920" s="49"/>
      <c r="B920" s="43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43"/>
      <c r="R920" s="43"/>
      <c r="S920" s="43"/>
      <c r="T920" s="43"/>
      <c r="U920" s="43"/>
      <c r="V920" s="43"/>
      <c r="W920" s="43"/>
      <c r="X920" s="43"/>
      <c r="Y920" s="43"/>
      <c r="Z920" s="43"/>
      <c r="AA920" s="43"/>
      <c r="AB920" s="43"/>
      <c r="AC920" s="43"/>
      <c r="AD920" s="43"/>
      <c r="AE920" s="43"/>
      <c r="AF920" s="43"/>
      <c r="AG920" s="43"/>
      <c r="AH920" s="43"/>
      <c r="AI920" s="43"/>
      <c r="AJ920" s="43"/>
      <c r="AK920" s="43"/>
      <c r="AL920" s="43"/>
      <c r="AM920" s="43"/>
      <c r="AN920" s="43"/>
      <c r="AO920" s="43"/>
      <c r="AP920" s="43"/>
      <c r="AQ920" s="43"/>
      <c r="AR920" s="43"/>
      <c r="AS920" s="43"/>
      <c r="AT920" s="43"/>
      <c r="AU920" s="43"/>
      <c r="AV920" s="43"/>
      <c r="AW920" s="43"/>
      <c r="AX920" s="43"/>
      <c r="AY920" s="43"/>
      <c r="AZ920" s="43"/>
      <c r="BA920" s="43"/>
      <c r="BB920" s="1"/>
      <c r="BC920" s="1"/>
      <c r="BD920" s="1"/>
      <c r="BE920" s="1"/>
      <c r="BF920" s="1"/>
      <c r="BG920" s="1"/>
      <c r="BH920" s="1"/>
      <c r="BI920" s="1"/>
    </row>
    <row r="921" spans="1:61" ht="15.75" customHeight="1" x14ac:dyDescent="0.5">
      <c r="A921" s="49"/>
      <c r="B921" s="43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43"/>
      <c r="R921" s="43"/>
      <c r="S921" s="43"/>
      <c r="T921" s="43"/>
      <c r="U921" s="43"/>
      <c r="V921" s="43"/>
      <c r="W921" s="43"/>
      <c r="X921" s="43"/>
      <c r="Y921" s="43"/>
      <c r="Z921" s="43"/>
      <c r="AA921" s="43"/>
      <c r="AB921" s="43"/>
      <c r="AC921" s="43"/>
      <c r="AD921" s="43"/>
      <c r="AE921" s="43"/>
      <c r="AF921" s="43"/>
      <c r="AG921" s="43"/>
      <c r="AH921" s="43"/>
      <c r="AI921" s="43"/>
      <c r="AJ921" s="43"/>
      <c r="AK921" s="43"/>
      <c r="AL921" s="43"/>
      <c r="AM921" s="43"/>
      <c r="AN921" s="43"/>
      <c r="AO921" s="43"/>
      <c r="AP921" s="43"/>
      <c r="AQ921" s="43"/>
      <c r="AR921" s="43"/>
      <c r="AS921" s="43"/>
      <c r="AT921" s="43"/>
      <c r="AU921" s="43"/>
      <c r="AV921" s="43"/>
      <c r="AW921" s="43"/>
      <c r="AX921" s="43"/>
      <c r="AY921" s="43"/>
      <c r="AZ921" s="43"/>
      <c r="BA921" s="43"/>
      <c r="BB921" s="1"/>
      <c r="BC921" s="1"/>
      <c r="BD921" s="1"/>
      <c r="BE921" s="1"/>
      <c r="BF921" s="1"/>
      <c r="BG921" s="1"/>
      <c r="BH921" s="1"/>
      <c r="BI921" s="1"/>
    </row>
    <row r="922" spans="1:61" ht="15.75" customHeight="1" x14ac:dyDescent="0.5">
      <c r="A922" s="49"/>
      <c r="B922" s="43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43"/>
      <c r="R922" s="43"/>
      <c r="S922" s="43"/>
      <c r="T922" s="43"/>
      <c r="U922" s="43"/>
      <c r="V922" s="43"/>
      <c r="W922" s="43"/>
      <c r="X922" s="43"/>
      <c r="Y922" s="43"/>
      <c r="Z922" s="43"/>
      <c r="AA922" s="43"/>
      <c r="AB922" s="43"/>
      <c r="AC922" s="43"/>
      <c r="AD922" s="43"/>
      <c r="AE922" s="43"/>
      <c r="AF922" s="43"/>
      <c r="AG922" s="43"/>
      <c r="AH922" s="43"/>
      <c r="AI922" s="43"/>
      <c r="AJ922" s="43"/>
      <c r="AK922" s="43"/>
      <c r="AL922" s="43"/>
      <c r="AM922" s="43"/>
      <c r="AN922" s="43"/>
      <c r="AO922" s="43"/>
      <c r="AP922" s="43"/>
      <c r="AQ922" s="43"/>
      <c r="AR922" s="43"/>
      <c r="AS922" s="43"/>
      <c r="AT922" s="43"/>
      <c r="AU922" s="43"/>
      <c r="AV922" s="43"/>
      <c r="AW922" s="43"/>
      <c r="AX922" s="43"/>
      <c r="AY922" s="43"/>
      <c r="AZ922" s="43"/>
      <c r="BA922" s="43"/>
      <c r="BB922" s="1"/>
      <c r="BC922" s="1"/>
      <c r="BD922" s="1"/>
      <c r="BE922" s="1"/>
      <c r="BF922" s="1"/>
      <c r="BG922" s="1"/>
      <c r="BH922" s="1"/>
      <c r="BI922" s="1"/>
    </row>
    <row r="923" spans="1:61" ht="15.75" customHeight="1" x14ac:dyDescent="0.5">
      <c r="A923" s="49"/>
      <c r="B923" s="43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43"/>
      <c r="R923" s="43"/>
      <c r="S923" s="43"/>
      <c r="T923" s="43"/>
      <c r="U923" s="43"/>
      <c r="V923" s="43"/>
      <c r="W923" s="43"/>
      <c r="X923" s="43"/>
      <c r="Y923" s="43"/>
      <c r="Z923" s="43"/>
      <c r="AA923" s="43"/>
      <c r="AB923" s="43"/>
      <c r="AC923" s="43"/>
      <c r="AD923" s="43"/>
      <c r="AE923" s="43"/>
      <c r="AF923" s="43"/>
      <c r="AG923" s="43"/>
      <c r="AH923" s="43"/>
      <c r="AI923" s="43"/>
      <c r="AJ923" s="43"/>
      <c r="AK923" s="43"/>
      <c r="AL923" s="43"/>
      <c r="AM923" s="43"/>
      <c r="AN923" s="43"/>
      <c r="AO923" s="43"/>
      <c r="AP923" s="43"/>
      <c r="AQ923" s="43"/>
      <c r="AR923" s="43"/>
      <c r="AS923" s="43"/>
      <c r="AT923" s="43"/>
      <c r="AU923" s="43"/>
      <c r="AV923" s="43"/>
      <c r="AW923" s="43"/>
      <c r="AX923" s="43"/>
      <c r="AY923" s="43"/>
      <c r="AZ923" s="43"/>
      <c r="BA923" s="43"/>
      <c r="BB923" s="1"/>
      <c r="BC923" s="1"/>
      <c r="BD923" s="1"/>
      <c r="BE923" s="1"/>
      <c r="BF923" s="1"/>
      <c r="BG923" s="1"/>
      <c r="BH923" s="1"/>
      <c r="BI923" s="1"/>
    </row>
    <row r="924" spans="1:61" ht="15.75" customHeight="1" x14ac:dyDescent="0.5">
      <c r="A924" s="49"/>
      <c r="B924" s="43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43"/>
      <c r="R924" s="43"/>
      <c r="S924" s="43"/>
      <c r="T924" s="43"/>
      <c r="U924" s="43"/>
      <c r="V924" s="43"/>
      <c r="W924" s="43"/>
      <c r="X924" s="43"/>
      <c r="Y924" s="43"/>
      <c r="Z924" s="43"/>
      <c r="AA924" s="43"/>
      <c r="AB924" s="43"/>
      <c r="AC924" s="43"/>
      <c r="AD924" s="43"/>
      <c r="AE924" s="43"/>
      <c r="AF924" s="43"/>
      <c r="AG924" s="43"/>
      <c r="AH924" s="43"/>
      <c r="AI924" s="43"/>
      <c r="AJ924" s="43"/>
      <c r="AK924" s="43"/>
      <c r="AL924" s="43"/>
      <c r="AM924" s="43"/>
      <c r="AN924" s="43"/>
      <c r="AO924" s="43"/>
      <c r="AP924" s="43"/>
      <c r="AQ924" s="43"/>
      <c r="AR924" s="43"/>
      <c r="AS924" s="43"/>
      <c r="AT924" s="43"/>
      <c r="AU924" s="43"/>
      <c r="AV924" s="43"/>
      <c r="AW924" s="43"/>
      <c r="AX924" s="43"/>
      <c r="AY924" s="43"/>
      <c r="AZ924" s="43"/>
      <c r="BA924" s="43"/>
      <c r="BB924" s="1"/>
      <c r="BC924" s="1"/>
      <c r="BD924" s="1"/>
      <c r="BE924" s="1"/>
      <c r="BF924" s="1"/>
      <c r="BG924" s="1"/>
      <c r="BH924" s="1"/>
      <c r="BI924" s="1"/>
    </row>
    <row r="925" spans="1:61" ht="15.75" customHeight="1" x14ac:dyDescent="0.5">
      <c r="A925" s="49"/>
      <c r="B925" s="43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43"/>
      <c r="R925" s="43"/>
      <c r="S925" s="43"/>
      <c r="T925" s="43"/>
      <c r="U925" s="43"/>
      <c r="V925" s="43"/>
      <c r="W925" s="43"/>
      <c r="X925" s="43"/>
      <c r="Y925" s="43"/>
      <c r="Z925" s="43"/>
      <c r="AA925" s="43"/>
      <c r="AB925" s="43"/>
      <c r="AC925" s="43"/>
      <c r="AD925" s="43"/>
      <c r="AE925" s="43"/>
      <c r="AF925" s="43"/>
      <c r="AG925" s="43"/>
      <c r="AH925" s="43"/>
      <c r="AI925" s="43"/>
      <c r="AJ925" s="43"/>
      <c r="AK925" s="43"/>
      <c r="AL925" s="43"/>
      <c r="AM925" s="43"/>
      <c r="AN925" s="43"/>
      <c r="AO925" s="43"/>
      <c r="AP925" s="43"/>
      <c r="AQ925" s="43"/>
      <c r="AR925" s="43"/>
      <c r="AS925" s="43"/>
      <c r="AT925" s="43"/>
      <c r="AU925" s="43"/>
      <c r="AV925" s="43"/>
      <c r="AW925" s="43"/>
      <c r="AX925" s="43"/>
      <c r="AY925" s="43"/>
      <c r="AZ925" s="43"/>
      <c r="BA925" s="43"/>
      <c r="BB925" s="1"/>
      <c r="BC925" s="1"/>
      <c r="BD925" s="1"/>
      <c r="BE925" s="1"/>
      <c r="BF925" s="1"/>
      <c r="BG925" s="1"/>
      <c r="BH925" s="1"/>
      <c r="BI925" s="1"/>
    </row>
    <row r="926" spans="1:61" ht="15.75" customHeight="1" x14ac:dyDescent="0.5">
      <c r="A926" s="49"/>
      <c r="B926" s="43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43"/>
      <c r="R926" s="43"/>
      <c r="S926" s="43"/>
      <c r="T926" s="43"/>
      <c r="U926" s="43"/>
      <c r="V926" s="43"/>
      <c r="W926" s="43"/>
      <c r="X926" s="43"/>
      <c r="Y926" s="43"/>
      <c r="Z926" s="43"/>
      <c r="AA926" s="43"/>
      <c r="AB926" s="43"/>
      <c r="AC926" s="43"/>
      <c r="AD926" s="43"/>
      <c r="AE926" s="43"/>
      <c r="AF926" s="43"/>
      <c r="AG926" s="43"/>
      <c r="AH926" s="43"/>
      <c r="AI926" s="43"/>
      <c r="AJ926" s="43"/>
      <c r="AK926" s="43"/>
      <c r="AL926" s="43"/>
      <c r="AM926" s="43"/>
      <c r="AN926" s="43"/>
      <c r="AO926" s="43"/>
      <c r="AP926" s="43"/>
      <c r="AQ926" s="43"/>
      <c r="AR926" s="43"/>
      <c r="AS926" s="43"/>
      <c r="AT926" s="43"/>
      <c r="AU926" s="43"/>
      <c r="AV926" s="43"/>
      <c r="AW926" s="43"/>
      <c r="AX926" s="43"/>
      <c r="AY926" s="43"/>
      <c r="AZ926" s="43"/>
      <c r="BA926" s="43"/>
      <c r="BB926" s="1"/>
      <c r="BC926" s="1"/>
      <c r="BD926" s="1"/>
      <c r="BE926" s="1"/>
      <c r="BF926" s="1"/>
      <c r="BG926" s="1"/>
      <c r="BH926" s="1"/>
      <c r="BI926" s="1"/>
    </row>
    <row r="927" spans="1:61" ht="15.75" customHeight="1" x14ac:dyDescent="0.5">
      <c r="A927" s="49"/>
      <c r="B927" s="43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43"/>
      <c r="R927" s="43"/>
      <c r="S927" s="43"/>
      <c r="T927" s="43"/>
      <c r="U927" s="43"/>
      <c r="V927" s="43"/>
      <c r="W927" s="43"/>
      <c r="X927" s="43"/>
      <c r="Y927" s="43"/>
      <c r="Z927" s="43"/>
      <c r="AA927" s="43"/>
      <c r="AB927" s="43"/>
      <c r="AC927" s="43"/>
      <c r="AD927" s="43"/>
      <c r="AE927" s="43"/>
      <c r="AF927" s="43"/>
      <c r="AG927" s="43"/>
      <c r="AH927" s="43"/>
      <c r="AI927" s="43"/>
      <c r="AJ927" s="43"/>
      <c r="AK927" s="43"/>
      <c r="AL927" s="43"/>
      <c r="AM927" s="43"/>
      <c r="AN927" s="43"/>
      <c r="AO927" s="43"/>
      <c r="AP927" s="43"/>
      <c r="AQ927" s="43"/>
      <c r="AR927" s="43"/>
      <c r="AS927" s="43"/>
      <c r="AT927" s="43"/>
      <c r="AU927" s="43"/>
      <c r="AV927" s="43"/>
      <c r="AW927" s="43"/>
      <c r="AX927" s="43"/>
      <c r="AY927" s="43"/>
      <c r="AZ927" s="43"/>
      <c r="BA927" s="43"/>
      <c r="BB927" s="1"/>
      <c r="BC927" s="1"/>
      <c r="BD927" s="1"/>
      <c r="BE927" s="1"/>
      <c r="BF927" s="1"/>
      <c r="BG927" s="1"/>
      <c r="BH927" s="1"/>
      <c r="BI927" s="1"/>
    </row>
    <row r="928" spans="1:61" ht="15.75" customHeight="1" x14ac:dyDescent="0.5">
      <c r="A928" s="49"/>
      <c r="B928" s="43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43"/>
      <c r="R928" s="43"/>
      <c r="S928" s="43"/>
      <c r="T928" s="43"/>
      <c r="U928" s="43"/>
      <c r="V928" s="43"/>
      <c r="W928" s="43"/>
      <c r="X928" s="43"/>
      <c r="Y928" s="43"/>
      <c r="Z928" s="43"/>
      <c r="AA928" s="43"/>
      <c r="AB928" s="43"/>
      <c r="AC928" s="43"/>
      <c r="AD928" s="43"/>
      <c r="AE928" s="43"/>
      <c r="AF928" s="43"/>
      <c r="AG928" s="43"/>
      <c r="AH928" s="43"/>
      <c r="AI928" s="43"/>
      <c r="AJ928" s="43"/>
      <c r="AK928" s="43"/>
      <c r="AL928" s="43"/>
      <c r="AM928" s="43"/>
      <c r="AN928" s="43"/>
      <c r="AO928" s="43"/>
      <c r="AP928" s="43"/>
      <c r="AQ928" s="43"/>
      <c r="AR928" s="43"/>
      <c r="AS928" s="43"/>
      <c r="AT928" s="43"/>
      <c r="AU928" s="43"/>
      <c r="AV928" s="43"/>
      <c r="AW928" s="43"/>
      <c r="AX928" s="43"/>
      <c r="AY928" s="43"/>
      <c r="AZ928" s="43"/>
      <c r="BA928" s="43"/>
      <c r="BB928" s="1"/>
      <c r="BC928" s="1"/>
      <c r="BD928" s="1"/>
      <c r="BE928" s="1"/>
      <c r="BF928" s="1"/>
      <c r="BG928" s="1"/>
      <c r="BH928" s="1"/>
      <c r="BI928" s="1"/>
    </row>
    <row r="929" spans="1:61" ht="15.75" customHeight="1" x14ac:dyDescent="0.5">
      <c r="A929" s="49"/>
      <c r="B929" s="43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43"/>
      <c r="R929" s="43"/>
      <c r="S929" s="43"/>
      <c r="T929" s="43"/>
      <c r="U929" s="43"/>
      <c r="V929" s="43"/>
      <c r="W929" s="43"/>
      <c r="X929" s="43"/>
      <c r="Y929" s="43"/>
      <c r="Z929" s="43"/>
      <c r="AA929" s="43"/>
      <c r="AB929" s="43"/>
      <c r="AC929" s="43"/>
      <c r="AD929" s="43"/>
      <c r="AE929" s="43"/>
      <c r="AF929" s="43"/>
      <c r="AG929" s="43"/>
      <c r="AH929" s="43"/>
      <c r="AI929" s="43"/>
      <c r="AJ929" s="43"/>
      <c r="AK929" s="43"/>
      <c r="AL929" s="43"/>
      <c r="AM929" s="43"/>
      <c r="AN929" s="43"/>
      <c r="AO929" s="43"/>
      <c r="AP929" s="43"/>
      <c r="AQ929" s="43"/>
      <c r="AR929" s="43"/>
      <c r="AS929" s="43"/>
      <c r="AT929" s="43"/>
      <c r="AU929" s="43"/>
      <c r="AV929" s="43"/>
      <c r="AW929" s="43"/>
      <c r="AX929" s="43"/>
      <c r="AY929" s="43"/>
      <c r="AZ929" s="43"/>
      <c r="BA929" s="43"/>
      <c r="BB929" s="1"/>
      <c r="BC929" s="1"/>
      <c r="BD929" s="1"/>
      <c r="BE929" s="1"/>
      <c r="BF929" s="1"/>
      <c r="BG929" s="1"/>
      <c r="BH929" s="1"/>
      <c r="BI929" s="1"/>
    </row>
    <row r="930" spans="1:61" ht="15.75" customHeight="1" x14ac:dyDescent="0.5">
      <c r="A930" s="49"/>
      <c r="B930" s="43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43"/>
      <c r="R930" s="43"/>
      <c r="S930" s="43"/>
      <c r="T930" s="43"/>
      <c r="U930" s="43"/>
      <c r="V930" s="43"/>
      <c r="W930" s="43"/>
      <c r="X930" s="43"/>
      <c r="Y930" s="43"/>
      <c r="Z930" s="43"/>
      <c r="AA930" s="43"/>
      <c r="AB930" s="43"/>
      <c r="AC930" s="43"/>
      <c r="AD930" s="43"/>
      <c r="AE930" s="43"/>
      <c r="AF930" s="43"/>
      <c r="AG930" s="43"/>
      <c r="AH930" s="43"/>
      <c r="AI930" s="43"/>
      <c r="AJ930" s="43"/>
      <c r="AK930" s="43"/>
      <c r="AL930" s="43"/>
      <c r="AM930" s="43"/>
      <c r="AN930" s="43"/>
      <c r="AO930" s="43"/>
      <c r="AP930" s="43"/>
      <c r="AQ930" s="43"/>
      <c r="AR930" s="43"/>
      <c r="AS930" s="43"/>
      <c r="AT930" s="43"/>
      <c r="AU930" s="43"/>
      <c r="AV930" s="43"/>
      <c r="AW930" s="43"/>
      <c r="AX930" s="43"/>
      <c r="AY930" s="43"/>
      <c r="AZ930" s="43"/>
      <c r="BA930" s="43"/>
      <c r="BB930" s="1"/>
      <c r="BC930" s="1"/>
      <c r="BD930" s="1"/>
      <c r="BE930" s="1"/>
      <c r="BF930" s="1"/>
      <c r="BG930" s="1"/>
      <c r="BH930" s="1"/>
      <c r="BI930" s="1"/>
    </row>
    <row r="931" spans="1:61" ht="15.75" customHeight="1" x14ac:dyDescent="0.5">
      <c r="A931" s="49"/>
      <c r="B931" s="43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43"/>
      <c r="R931" s="43"/>
      <c r="S931" s="43"/>
      <c r="T931" s="43"/>
      <c r="U931" s="43"/>
      <c r="V931" s="43"/>
      <c r="W931" s="43"/>
      <c r="X931" s="43"/>
      <c r="Y931" s="43"/>
      <c r="Z931" s="43"/>
      <c r="AA931" s="43"/>
      <c r="AB931" s="43"/>
      <c r="AC931" s="43"/>
      <c r="AD931" s="43"/>
      <c r="AE931" s="43"/>
      <c r="AF931" s="43"/>
      <c r="AG931" s="43"/>
      <c r="AH931" s="43"/>
      <c r="AI931" s="43"/>
      <c r="AJ931" s="43"/>
      <c r="AK931" s="43"/>
      <c r="AL931" s="43"/>
      <c r="AM931" s="43"/>
      <c r="AN931" s="43"/>
      <c r="AO931" s="43"/>
      <c r="AP931" s="43"/>
      <c r="AQ931" s="43"/>
      <c r="AR931" s="43"/>
      <c r="AS931" s="43"/>
      <c r="AT931" s="43"/>
      <c r="AU931" s="43"/>
      <c r="AV931" s="43"/>
      <c r="AW931" s="43"/>
      <c r="AX931" s="43"/>
      <c r="AY931" s="43"/>
      <c r="AZ931" s="43"/>
      <c r="BA931" s="43"/>
      <c r="BB931" s="1"/>
      <c r="BC931" s="1"/>
      <c r="BD931" s="1"/>
      <c r="BE931" s="1"/>
      <c r="BF931" s="1"/>
      <c r="BG931" s="1"/>
      <c r="BH931" s="1"/>
      <c r="BI931" s="1"/>
    </row>
    <row r="932" spans="1:61" ht="15.75" customHeight="1" x14ac:dyDescent="0.5">
      <c r="A932" s="49"/>
      <c r="B932" s="43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43"/>
      <c r="R932" s="43"/>
      <c r="S932" s="43"/>
      <c r="T932" s="43"/>
      <c r="U932" s="43"/>
      <c r="V932" s="43"/>
      <c r="W932" s="43"/>
      <c r="X932" s="43"/>
      <c r="Y932" s="43"/>
      <c r="Z932" s="43"/>
      <c r="AA932" s="43"/>
      <c r="AB932" s="43"/>
      <c r="AC932" s="43"/>
      <c r="AD932" s="43"/>
      <c r="AE932" s="43"/>
      <c r="AF932" s="43"/>
      <c r="AG932" s="43"/>
      <c r="AH932" s="43"/>
      <c r="AI932" s="43"/>
      <c r="AJ932" s="43"/>
      <c r="AK932" s="43"/>
      <c r="AL932" s="43"/>
      <c r="AM932" s="43"/>
      <c r="AN932" s="43"/>
      <c r="AO932" s="43"/>
      <c r="AP932" s="43"/>
      <c r="AQ932" s="43"/>
      <c r="AR932" s="43"/>
      <c r="AS932" s="43"/>
      <c r="AT932" s="43"/>
      <c r="AU932" s="43"/>
      <c r="AV932" s="43"/>
      <c r="AW932" s="43"/>
      <c r="AX932" s="43"/>
      <c r="AY932" s="43"/>
      <c r="AZ932" s="43"/>
      <c r="BA932" s="43"/>
      <c r="BB932" s="1"/>
      <c r="BC932" s="1"/>
      <c r="BD932" s="1"/>
      <c r="BE932" s="1"/>
      <c r="BF932" s="1"/>
      <c r="BG932" s="1"/>
      <c r="BH932" s="1"/>
      <c r="BI932" s="1"/>
    </row>
    <row r="933" spans="1:61" ht="15.75" customHeight="1" x14ac:dyDescent="0.5">
      <c r="A933" s="49"/>
      <c r="B933" s="43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43"/>
      <c r="R933" s="43"/>
      <c r="S933" s="43"/>
      <c r="T933" s="43"/>
      <c r="U933" s="43"/>
      <c r="V933" s="43"/>
      <c r="W933" s="43"/>
      <c r="X933" s="43"/>
      <c r="Y933" s="43"/>
      <c r="Z933" s="43"/>
      <c r="AA933" s="43"/>
      <c r="AB933" s="43"/>
      <c r="AC933" s="43"/>
      <c r="AD933" s="43"/>
      <c r="AE933" s="43"/>
      <c r="AF933" s="43"/>
      <c r="AG933" s="43"/>
      <c r="AH933" s="43"/>
      <c r="AI933" s="43"/>
      <c r="AJ933" s="43"/>
      <c r="AK933" s="43"/>
      <c r="AL933" s="43"/>
      <c r="AM933" s="43"/>
      <c r="AN933" s="43"/>
      <c r="AO933" s="43"/>
      <c r="AP933" s="43"/>
      <c r="AQ933" s="43"/>
      <c r="AR933" s="43"/>
      <c r="AS933" s="43"/>
      <c r="AT933" s="43"/>
      <c r="AU933" s="43"/>
      <c r="AV933" s="43"/>
      <c r="AW933" s="43"/>
      <c r="AX933" s="43"/>
      <c r="AY933" s="43"/>
      <c r="AZ933" s="43"/>
      <c r="BA933" s="43"/>
      <c r="BB933" s="1"/>
      <c r="BC933" s="1"/>
      <c r="BD933" s="1"/>
      <c r="BE933" s="1"/>
      <c r="BF933" s="1"/>
      <c r="BG933" s="1"/>
      <c r="BH933" s="1"/>
      <c r="BI933" s="1"/>
    </row>
    <row r="934" spans="1:61" ht="15.75" customHeight="1" x14ac:dyDescent="0.5">
      <c r="A934" s="49"/>
      <c r="B934" s="43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43"/>
      <c r="R934" s="43"/>
      <c r="S934" s="43"/>
      <c r="T934" s="43"/>
      <c r="U934" s="43"/>
      <c r="V934" s="43"/>
      <c r="W934" s="43"/>
      <c r="X934" s="43"/>
      <c r="Y934" s="43"/>
      <c r="Z934" s="43"/>
      <c r="AA934" s="43"/>
      <c r="AB934" s="43"/>
      <c r="AC934" s="43"/>
      <c r="AD934" s="43"/>
      <c r="AE934" s="43"/>
      <c r="AF934" s="43"/>
      <c r="AG934" s="43"/>
      <c r="AH934" s="43"/>
      <c r="AI934" s="43"/>
      <c r="AJ934" s="43"/>
      <c r="AK934" s="43"/>
      <c r="AL934" s="43"/>
      <c r="AM934" s="43"/>
      <c r="AN934" s="43"/>
      <c r="AO934" s="43"/>
      <c r="AP934" s="43"/>
      <c r="AQ934" s="43"/>
      <c r="AR934" s="43"/>
      <c r="AS934" s="43"/>
      <c r="AT934" s="43"/>
      <c r="AU934" s="43"/>
      <c r="AV934" s="43"/>
      <c r="AW934" s="43"/>
      <c r="AX934" s="43"/>
      <c r="AY934" s="43"/>
      <c r="AZ934" s="43"/>
      <c r="BA934" s="43"/>
      <c r="BB934" s="1"/>
      <c r="BC934" s="1"/>
      <c r="BD934" s="1"/>
      <c r="BE934" s="1"/>
      <c r="BF934" s="1"/>
      <c r="BG934" s="1"/>
      <c r="BH934" s="1"/>
      <c r="BI934" s="1"/>
    </row>
    <row r="935" spans="1:61" ht="15.75" customHeight="1" x14ac:dyDescent="0.5">
      <c r="A935" s="49"/>
      <c r="B935" s="43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43"/>
      <c r="R935" s="43"/>
      <c r="S935" s="43"/>
      <c r="T935" s="43"/>
      <c r="U935" s="43"/>
      <c r="V935" s="43"/>
      <c r="W935" s="43"/>
      <c r="X935" s="43"/>
      <c r="Y935" s="43"/>
      <c r="Z935" s="43"/>
      <c r="AA935" s="43"/>
      <c r="AB935" s="43"/>
      <c r="AC935" s="43"/>
      <c r="AD935" s="43"/>
      <c r="AE935" s="43"/>
      <c r="AF935" s="43"/>
      <c r="AG935" s="43"/>
      <c r="AH935" s="43"/>
      <c r="AI935" s="43"/>
      <c r="AJ935" s="43"/>
      <c r="AK935" s="43"/>
      <c r="AL935" s="43"/>
      <c r="AM935" s="43"/>
      <c r="AN935" s="43"/>
      <c r="AO935" s="43"/>
      <c r="AP935" s="43"/>
      <c r="AQ935" s="43"/>
      <c r="AR935" s="43"/>
      <c r="AS935" s="43"/>
      <c r="AT935" s="43"/>
      <c r="AU935" s="43"/>
      <c r="AV935" s="43"/>
      <c r="AW935" s="43"/>
      <c r="AX935" s="43"/>
      <c r="AY935" s="43"/>
      <c r="AZ935" s="43"/>
      <c r="BA935" s="43"/>
      <c r="BB935" s="1"/>
      <c r="BC935" s="1"/>
      <c r="BD935" s="1"/>
      <c r="BE935" s="1"/>
      <c r="BF935" s="1"/>
      <c r="BG935" s="1"/>
      <c r="BH935" s="1"/>
      <c r="BI935" s="1"/>
    </row>
    <row r="936" spans="1:61" ht="15.75" customHeight="1" x14ac:dyDescent="0.5">
      <c r="A936" s="49"/>
      <c r="B936" s="43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43"/>
      <c r="R936" s="43"/>
      <c r="S936" s="43"/>
      <c r="T936" s="43"/>
      <c r="U936" s="43"/>
      <c r="V936" s="43"/>
      <c r="W936" s="43"/>
      <c r="X936" s="43"/>
      <c r="Y936" s="43"/>
      <c r="Z936" s="43"/>
      <c r="AA936" s="43"/>
      <c r="AB936" s="43"/>
      <c r="AC936" s="43"/>
      <c r="AD936" s="43"/>
      <c r="AE936" s="43"/>
      <c r="AF936" s="43"/>
      <c r="AG936" s="43"/>
      <c r="AH936" s="43"/>
      <c r="AI936" s="43"/>
      <c r="AJ936" s="43"/>
      <c r="AK936" s="43"/>
      <c r="AL936" s="43"/>
      <c r="AM936" s="43"/>
      <c r="AN936" s="43"/>
      <c r="AO936" s="43"/>
      <c r="AP936" s="43"/>
      <c r="AQ936" s="43"/>
      <c r="AR936" s="43"/>
      <c r="AS936" s="43"/>
      <c r="AT936" s="43"/>
      <c r="AU936" s="43"/>
      <c r="AV936" s="43"/>
      <c r="AW936" s="43"/>
      <c r="AX936" s="43"/>
      <c r="AY936" s="43"/>
      <c r="AZ936" s="43"/>
      <c r="BA936" s="43"/>
      <c r="BB936" s="1"/>
      <c r="BC936" s="1"/>
      <c r="BD936" s="1"/>
      <c r="BE936" s="1"/>
      <c r="BF936" s="1"/>
      <c r="BG936" s="1"/>
      <c r="BH936" s="1"/>
      <c r="BI936" s="1"/>
    </row>
    <row r="937" spans="1:61" ht="15.75" customHeight="1" x14ac:dyDescent="0.5">
      <c r="A937" s="49"/>
      <c r="B937" s="43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43"/>
      <c r="R937" s="43"/>
      <c r="S937" s="43"/>
      <c r="T937" s="43"/>
      <c r="U937" s="43"/>
      <c r="V937" s="43"/>
      <c r="W937" s="43"/>
      <c r="X937" s="43"/>
      <c r="Y937" s="43"/>
      <c r="Z937" s="43"/>
      <c r="AA937" s="43"/>
      <c r="AB937" s="43"/>
      <c r="AC937" s="43"/>
      <c r="AD937" s="43"/>
      <c r="AE937" s="43"/>
      <c r="AF937" s="43"/>
      <c r="AG937" s="43"/>
      <c r="AH937" s="43"/>
      <c r="AI937" s="43"/>
      <c r="AJ937" s="43"/>
      <c r="AK937" s="43"/>
      <c r="AL937" s="43"/>
      <c r="AM937" s="43"/>
      <c r="AN937" s="43"/>
      <c r="AO937" s="43"/>
      <c r="AP937" s="43"/>
      <c r="AQ937" s="43"/>
      <c r="AR937" s="43"/>
      <c r="AS937" s="43"/>
      <c r="AT937" s="43"/>
      <c r="AU937" s="43"/>
      <c r="AV937" s="43"/>
      <c r="AW937" s="43"/>
      <c r="AX937" s="43"/>
      <c r="AY937" s="43"/>
      <c r="AZ937" s="43"/>
      <c r="BA937" s="43"/>
      <c r="BB937" s="1"/>
      <c r="BC937" s="1"/>
      <c r="BD937" s="1"/>
      <c r="BE937" s="1"/>
      <c r="BF937" s="1"/>
      <c r="BG937" s="1"/>
      <c r="BH937" s="1"/>
      <c r="BI937" s="1"/>
    </row>
    <row r="938" spans="1:61" ht="15.75" customHeight="1" x14ac:dyDescent="0.5">
      <c r="A938" s="49"/>
      <c r="B938" s="43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43"/>
      <c r="R938" s="43"/>
      <c r="S938" s="43"/>
      <c r="T938" s="43"/>
      <c r="U938" s="43"/>
      <c r="V938" s="43"/>
      <c r="W938" s="43"/>
      <c r="X938" s="43"/>
      <c r="Y938" s="43"/>
      <c r="Z938" s="43"/>
      <c r="AA938" s="43"/>
      <c r="AB938" s="43"/>
      <c r="AC938" s="43"/>
      <c r="AD938" s="43"/>
      <c r="AE938" s="43"/>
      <c r="AF938" s="43"/>
      <c r="AG938" s="43"/>
      <c r="AH938" s="43"/>
      <c r="BB938" s="1"/>
      <c r="BC938" s="1"/>
      <c r="BD938" s="1"/>
      <c r="BE938" s="1"/>
      <c r="BF938" s="1"/>
      <c r="BG938" s="1"/>
      <c r="BH938" s="1"/>
      <c r="BI938" s="1"/>
    </row>
    <row r="939" spans="1:61" ht="15.75" customHeight="1" x14ac:dyDescent="0.5">
      <c r="A939" s="49"/>
      <c r="B939" s="43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43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43"/>
      <c r="AC939" s="43"/>
      <c r="AD939" s="43"/>
      <c r="AE939" s="43"/>
      <c r="AF939" s="43"/>
      <c r="AG939" s="43"/>
      <c r="AH939" s="43"/>
      <c r="BB939" s="1"/>
      <c r="BC939" s="1"/>
      <c r="BD939" s="1"/>
      <c r="BE939" s="1"/>
      <c r="BF939" s="1"/>
      <c r="BG939" s="1"/>
      <c r="BH939" s="1"/>
      <c r="BI939" s="1"/>
    </row>
    <row r="940" spans="1:61" ht="15.75" customHeight="1" x14ac:dyDescent="0.5">
      <c r="A940" s="49"/>
      <c r="B940" s="43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43"/>
      <c r="R940" s="43"/>
      <c r="S940" s="43"/>
      <c r="T940" s="43"/>
      <c r="U940" s="43"/>
      <c r="V940" s="43"/>
      <c r="W940" s="43"/>
      <c r="X940" s="43"/>
      <c r="Y940" s="43"/>
      <c r="Z940" s="43"/>
      <c r="AA940" s="43"/>
      <c r="AB940" s="43"/>
      <c r="AC940" s="43"/>
      <c r="AD940" s="43"/>
      <c r="AE940" s="43"/>
      <c r="AF940" s="43"/>
      <c r="AG940" s="43"/>
      <c r="AH940" s="43"/>
      <c r="BB940" s="1"/>
      <c r="BC940" s="1"/>
      <c r="BD940" s="1"/>
      <c r="BE940" s="1"/>
      <c r="BF940" s="1"/>
      <c r="BG940" s="1"/>
      <c r="BH940" s="1"/>
      <c r="BI940" s="1"/>
    </row>
    <row r="941" spans="1:61" ht="15.75" customHeight="1" x14ac:dyDescent="0.5">
      <c r="A941" s="49"/>
      <c r="B941" s="43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43"/>
      <c r="R941" s="43"/>
      <c r="S941" s="43"/>
      <c r="T941" s="43"/>
      <c r="U941" s="43"/>
      <c r="V941" s="43"/>
      <c r="W941" s="43"/>
      <c r="X941" s="43"/>
      <c r="Y941" s="43"/>
      <c r="Z941" s="43"/>
      <c r="AA941" s="43"/>
      <c r="AB941" s="43"/>
      <c r="AC941" s="43"/>
      <c r="AD941" s="43"/>
      <c r="AE941" s="43"/>
      <c r="AF941" s="43"/>
      <c r="AG941" s="43"/>
      <c r="AH941" s="43"/>
      <c r="BB941" s="1"/>
      <c r="BC941" s="1"/>
      <c r="BD941" s="1"/>
      <c r="BE941" s="1"/>
      <c r="BF941" s="1"/>
      <c r="BG941" s="1"/>
      <c r="BH941" s="1"/>
      <c r="BI941" s="1"/>
    </row>
    <row r="942" spans="1:61" ht="15.75" customHeight="1" x14ac:dyDescent="0.5">
      <c r="A942" s="49"/>
      <c r="B942" s="43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43"/>
      <c r="R942" s="43"/>
      <c r="S942" s="43"/>
      <c r="T942" s="43"/>
      <c r="U942" s="43"/>
      <c r="V942" s="43"/>
      <c r="W942" s="43"/>
      <c r="X942" s="43"/>
      <c r="Y942" s="43"/>
      <c r="Z942" s="43"/>
      <c r="AA942" s="43"/>
      <c r="AB942" s="43"/>
      <c r="AC942" s="43"/>
      <c r="AD942" s="43"/>
      <c r="AE942" s="43"/>
      <c r="AF942" s="43"/>
      <c r="AG942" s="43"/>
      <c r="AH942" s="43"/>
      <c r="BB942" s="1"/>
      <c r="BC942" s="1"/>
      <c r="BD942" s="1"/>
      <c r="BE942" s="1"/>
      <c r="BF942" s="1"/>
      <c r="BG942" s="1"/>
      <c r="BH942" s="1"/>
      <c r="BI942" s="1"/>
    </row>
    <row r="943" spans="1:61" ht="15.75" customHeight="1" x14ac:dyDescent="0.5">
      <c r="A943" s="49"/>
      <c r="B943" s="43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43"/>
      <c r="R943" s="43"/>
      <c r="S943" s="43"/>
      <c r="T943" s="43"/>
      <c r="U943" s="43"/>
      <c r="V943" s="43"/>
      <c r="W943" s="43"/>
      <c r="X943" s="43"/>
      <c r="Y943" s="43"/>
      <c r="Z943" s="43"/>
      <c r="AA943" s="43"/>
      <c r="AB943" s="43"/>
      <c r="AC943" s="43"/>
      <c r="AD943" s="43"/>
      <c r="AE943" s="43"/>
      <c r="AF943" s="43"/>
      <c r="AG943" s="43"/>
      <c r="AH943" s="43"/>
      <c r="BB943" s="1"/>
      <c r="BC943" s="1"/>
      <c r="BD943" s="1"/>
      <c r="BE943" s="1"/>
      <c r="BF943" s="1"/>
      <c r="BG943" s="1"/>
      <c r="BH943" s="1"/>
      <c r="BI943" s="1"/>
    </row>
    <row r="944" spans="1:61" ht="15.75" customHeight="1" x14ac:dyDescent="0.5">
      <c r="A944" s="49"/>
      <c r="B944" s="43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43"/>
      <c r="R944" s="43"/>
      <c r="S944" s="43"/>
      <c r="T944" s="43"/>
      <c r="U944" s="43"/>
      <c r="V944" s="43"/>
      <c r="W944" s="43"/>
      <c r="X944" s="43"/>
      <c r="Y944" s="43"/>
      <c r="Z944" s="43"/>
      <c r="AA944" s="43"/>
      <c r="AB944" s="43"/>
      <c r="AC944" s="43"/>
      <c r="AD944" s="43"/>
      <c r="AE944" s="43"/>
      <c r="AF944" s="43"/>
      <c r="AG944" s="43"/>
      <c r="AH944" s="43"/>
      <c r="BB944" s="1"/>
      <c r="BC944" s="1"/>
      <c r="BD944" s="1"/>
      <c r="BE944" s="1"/>
      <c r="BF944" s="1"/>
      <c r="BG944" s="1"/>
      <c r="BH944" s="1"/>
      <c r="BI944" s="1"/>
    </row>
    <row r="945" spans="1:61" ht="15.75" customHeight="1" x14ac:dyDescent="0.5">
      <c r="A945" s="49"/>
      <c r="B945" s="43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43"/>
      <c r="R945" s="43"/>
      <c r="S945" s="43"/>
      <c r="T945" s="43"/>
      <c r="U945" s="43"/>
      <c r="V945" s="43"/>
      <c r="W945" s="43"/>
      <c r="X945" s="43"/>
      <c r="Y945" s="43"/>
      <c r="Z945" s="43"/>
      <c r="AA945" s="43"/>
      <c r="AB945" s="43"/>
      <c r="AC945" s="43"/>
      <c r="AD945" s="43"/>
      <c r="AE945" s="43"/>
      <c r="AF945" s="43"/>
      <c r="AG945" s="43"/>
      <c r="AH945" s="43"/>
      <c r="BB945" s="1"/>
      <c r="BC945" s="1"/>
      <c r="BD945" s="1"/>
      <c r="BE945" s="1"/>
      <c r="BF945" s="1"/>
      <c r="BG945" s="1"/>
      <c r="BH945" s="1"/>
      <c r="BI945" s="1"/>
    </row>
    <row r="946" spans="1:61" ht="15.75" customHeight="1" x14ac:dyDescent="0.5">
      <c r="A946" s="49"/>
      <c r="B946" s="43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43"/>
      <c r="R946" s="43"/>
      <c r="S946" s="43"/>
      <c r="T946" s="43"/>
      <c r="U946" s="43"/>
      <c r="V946" s="43"/>
      <c r="W946" s="43"/>
      <c r="X946" s="43"/>
      <c r="Y946" s="43"/>
      <c r="Z946" s="43"/>
      <c r="AA946" s="43"/>
      <c r="AB946" s="43"/>
      <c r="AC946" s="43"/>
      <c r="AD946" s="43"/>
      <c r="AE946" s="43"/>
      <c r="AF946" s="43"/>
      <c r="AG946" s="43"/>
      <c r="AH946" s="43"/>
      <c r="BB946" s="1"/>
      <c r="BC946" s="1"/>
      <c r="BD946" s="1"/>
      <c r="BE946" s="1"/>
      <c r="BF946" s="1"/>
      <c r="BG946" s="1"/>
      <c r="BH946" s="1"/>
      <c r="BI946" s="1"/>
    </row>
    <row r="947" spans="1:61" ht="15.75" customHeight="1" x14ac:dyDescent="0.5">
      <c r="A947" s="49"/>
      <c r="B947" s="43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43"/>
      <c r="R947" s="43"/>
      <c r="S947" s="43"/>
      <c r="T947" s="43"/>
      <c r="U947" s="43"/>
      <c r="V947" s="43"/>
      <c r="W947" s="43"/>
      <c r="X947" s="43"/>
      <c r="Y947" s="43"/>
      <c r="Z947" s="43"/>
      <c r="AA947" s="43"/>
      <c r="AB947" s="43"/>
      <c r="AC947" s="43"/>
      <c r="AD947" s="43"/>
      <c r="AE947" s="43"/>
      <c r="AF947" s="43"/>
      <c r="AG947" s="43"/>
      <c r="AH947" s="43"/>
      <c r="BB947" s="1"/>
      <c r="BC947" s="1"/>
      <c r="BD947" s="1"/>
      <c r="BE947" s="1"/>
      <c r="BF947" s="1"/>
      <c r="BG947" s="1"/>
      <c r="BH947" s="1"/>
      <c r="BI947" s="1"/>
    </row>
    <row r="948" spans="1:61" ht="15.75" customHeight="1" x14ac:dyDescent="0.5">
      <c r="A948" s="49"/>
      <c r="B948" s="43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43"/>
      <c r="R948" s="43"/>
      <c r="S948" s="43"/>
      <c r="T948" s="43"/>
      <c r="U948" s="43"/>
      <c r="V948" s="43"/>
      <c r="W948" s="43"/>
      <c r="X948" s="43"/>
      <c r="Y948" s="43"/>
      <c r="Z948" s="43"/>
      <c r="AA948" s="43"/>
      <c r="AB948" s="43"/>
      <c r="AC948" s="43"/>
      <c r="AD948" s="43"/>
      <c r="AE948" s="43"/>
      <c r="AF948" s="43"/>
      <c r="AG948" s="43"/>
      <c r="AH948" s="43"/>
      <c r="BB948" s="1"/>
      <c r="BC948" s="1"/>
      <c r="BD948" s="1"/>
      <c r="BE948" s="1"/>
      <c r="BF948" s="1"/>
      <c r="BG948" s="1"/>
      <c r="BH948" s="1"/>
      <c r="BI948" s="1"/>
    </row>
    <row r="949" spans="1:61" ht="15.75" customHeight="1" x14ac:dyDescent="0.5">
      <c r="A949" s="49"/>
      <c r="B949" s="43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43"/>
      <c r="R949" s="43"/>
      <c r="S949" s="43"/>
      <c r="T949" s="43"/>
      <c r="U949" s="43"/>
      <c r="V949" s="43"/>
      <c r="W949" s="43"/>
      <c r="X949" s="43"/>
      <c r="Y949" s="43"/>
      <c r="Z949" s="43"/>
      <c r="AA949" s="43"/>
      <c r="AB949" s="43"/>
      <c r="AC949" s="43"/>
      <c r="AD949" s="43"/>
      <c r="AE949" s="43"/>
      <c r="AF949" s="43"/>
      <c r="AG949" s="43"/>
      <c r="AH949" s="43"/>
      <c r="BB949" s="1"/>
      <c r="BC949" s="1"/>
      <c r="BD949" s="1"/>
      <c r="BE949" s="1"/>
      <c r="BF949" s="1"/>
      <c r="BG949" s="1"/>
      <c r="BH949" s="1"/>
      <c r="BI949" s="1"/>
    </row>
    <row r="950" spans="1:61" ht="15.75" customHeight="1" x14ac:dyDescent="0.5">
      <c r="A950" s="49"/>
      <c r="B950" s="43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43"/>
      <c r="R950" s="43"/>
      <c r="S950" s="43"/>
      <c r="T950" s="43"/>
      <c r="U950" s="43"/>
      <c r="V950" s="43"/>
      <c r="W950" s="43"/>
      <c r="X950" s="43"/>
      <c r="Y950" s="43"/>
      <c r="Z950" s="43"/>
      <c r="AA950" s="43"/>
      <c r="AB950" s="43"/>
      <c r="AC950" s="43"/>
      <c r="AD950" s="43"/>
      <c r="AE950" s="43"/>
      <c r="AF950" s="43"/>
      <c r="AG950" s="43"/>
      <c r="AH950" s="43"/>
      <c r="BB950" s="1"/>
      <c r="BC950" s="1"/>
      <c r="BD950" s="1"/>
      <c r="BE950" s="1"/>
      <c r="BF950" s="1"/>
      <c r="BG950" s="1"/>
      <c r="BH950" s="1"/>
      <c r="BI950" s="1"/>
    </row>
    <row r="951" spans="1:61" ht="15.75" customHeight="1" x14ac:dyDescent="0.5">
      <c r="A951" s="49"/>
      <c r="B951" s="43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43"/>
      <c r="R951" s="43"/>
      <c r="S951" s="43"/>
      <c r="T951" s="43"/>
      <c r="U951" s="43"/>
      <c r="V951" s="43"/>
      <c r="W951" s="43"/>
      <c r="X951" s="43"/>
      <c r="Y951" s="43"/>
      <c r="Z951" s="43"/>
      <c r="AA951" s="43"/>
      <c r="AB951" s="43"/>
      <c r="AC951" s="43"/>
      <c r="AD951" s="43"/>
      <c r="AE951" s="43"/>
      <c r="AF951" s="43"/>
      <c r="AG951" s="43"/>
      <c r="AH951" s="43"/>
      <c r="BB951" s="1"/>
      <c r="BC951" s="1"/>
      <c r="BD951" s="1"/>
      <c r="BE951" s="1"/>
      <c r="BF951" s="1"/>
      <c r="BG951" s="1"/>
      <c r="BH951" s="1"/>
      <c r="BI951" s="1"/>
    </row>
    <row r="952" spans="1:61" ht="15.75" customHeight="1" x14ac:dyDescent="0.5">
      <c r="A952" s="49"/>
      <c r="B952" s="43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43"/>
      <c r="R952" s="43"/>
      <c r="S952" s="43"/>
      <c r="T952" s="43"/>
      <c r="U952" s="43"/>
      <c r="V952" s="43"/>
      <c r="W952" s="43"/>
      <c r="X952" s="43"/>
      <c r="Y952" s="43"/>
      <c r="Z952" s="43"/>
      <c r="AA952" s="43"/>
      <c r="AB952" s="43"/>
      <c r="AC952" s="43"/>
      <c r="AD952" s="43"/>
      <c r="AE952" s="43"/>
      <c r="AF952" s="43"/>
      <c r="AG952" s="43"/>
      <c r="AH952" s="43"/>
      <c r="BB952" s="1"/>
      <c r="BC952" s="1"/>
      <c r="BD952" s="1"/>
      <c r="BE952" s="1"/>
      <c r="BF952" s="1"/>
      <c r="BG952" s="1"/>
      <c r="BH952" s="1"/>
      <c r="BI952" s="1"/>
    </row>
    <row r="953" spans="1:61" ht="15.75" customHeight="1" x14ac:dyDescent="0.5">
      <c r="A953" s="49"/>
      <c r="B953" s="43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43"/>
      <c r="R953" s="43"/>
      <c r="S953" s="43"/>
      <c r="T953" s="43"/>
      <c r="U953" s="43"/>
      <c r="V953" s="43"/>
      <c r="W953" s="43"/>
      <c r="X953" s="43"/>
      <c r="Y953" s="43"/>
      <c r="Z953" s="43"/>
      <c r="AA953" s="43"/>
      <c r="AB953" s="43"/>
      <c r="AC953" s="43"/>
      <c r="AD953" s="43"/>
      <c r="AE953" s="43"/>
      <c r="AF953" s="43"/>
      <c r="AG953" s="43"/>
      <c r="AH953" s="43"/>
      <c r="BB953" s="43"/>
      <c r="BC953" s="43"/>
      <c r="BD953" s="43"/>
      <c r="BE953" s="43"/>
      <c r="BF953" s="43"/>
      <c r="BG953" s="43"/>
      <c r="BH953" s="43"/>
      <c r="BI953" s="43"/>
    </row>
    <row r="954" spans="1:61" ht="15.75" customHeight="1" x14ac:dyDescent="0.5">
      <c r="A954" s="49"/>
      <c r="B954" s="43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43"/>
      <c r="R954" s="43"/>
      <c r="S954" s="43"/>
      <c r="T954" s="43"/>
      <c r="U954" s="43"/>
      <c r="V954" s="43"/>
      <c r="W954" s="43"/>
      <c r="X954" s="43"/>
      <c r="Y954" s="43"/>
      <c r="Z954" s="43"/>
      <c r="AA954" s="43"/>
      <c r="AB954" s="43"/>
      <c r="AC954" s="43"/>
      <c r="AD954" s="43"/>
      <c r="AE954" s="43"/>
      <c r="AF954" s="43"/>
      <c r="AG954" s="43"/>
      <c r="AH954" s="43"/>
      <c r="BB954" s="43"/>
      <c r="BC954" s="43"/>
      <c r="BD954" s="43"/>
      <c r="BE954" s="43"/>
      <c r="BF954" s="43"/>
      <c r="BG954" s="43"/>
      <c r="BH954" s="43"/>
      <c r="BI954" s="43"/>
    </row>
    <row r="955" spans="1:61" ht="15.75" customHeight="1" x14ac:dyDescent="0.5">
      <c r="A955" s="49"/>
      <c r="B955" s="43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43"/>
      <c r="R955" s="43"/>
      <c r="S955" s="43"/>
      <c r="T955" s="43"/>
      <c r="U955" s="43"/>
      <c r="V955" s="43"/>
      <c r="W955" s="43"/>
      <c r="X955" s="43"/>
      <c r="Y955" s="43"/>
      <c r="Z955" s="43"/>
      <c r="AA955" s="43"/>
      <c r="AB955" s="43"/>
      <c r="AC955" s="43"/>
      <c r="AD955" s="43"/>
      <c r="AE955" s="43"/>
      <c r="AF955" s="43"/>
      <c r="AG955" s="43"/>
      <c r="AH955" s="43"/>
      <c r="BB955" s="43"/>
      <c r="BC955" s="43"/>
      <c r="BD955" s="43"/>
      <c r="BE955" s="43"/>
      <c r="BF955" s="43"/>
      <c r="BG955" s="43"/>
      <c r="BH955" s="43"/>
      <c r="BI955" s="43"/>
    </row>
    <row r="956" spans="1:61" ht="15.75" customHeight="1" x14ac:dyDescent="0.5">
      <c r="A956" s="49"/>
      <c r="B956" s="43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43"/>
      <c r="R956" s="43"/>
      <c r="S956" s="43"/>
      <c r="T956" s="43"/>
      <c r="U956" s="43"/>
      <c r="V956" s="43"/>
      <c r="W956" s="43"/>
      <c r="X956" s="43"/>
      <c r="Y956" s="43"/>
      <c r="Z956" s="43"/>
      <c r="AA956" s="43"/>
      <c r="AB956" s="43"/>
      <c r="AC956" s="43"/>
      <c r="AD956" s="43"/>
      <c r="AE956" s="43"/>
      <c r="AF956" s="43"/>
      <c r="AG956" s="43"/>
      <c r="AH956" s="43"/>
      <c r="BB956" s="43"/>
      <c r="BC956" s="43"/>
      <c r="BD956" s="43"/>
      <c r="BE956" s="43"/>
      <c r="BF956" s="43"/>
      <c r="BG956" s="43"/>
      <c r="BH956" s="43"/>
      <c r="BI956" s="43"/>
    </row>
    <row r="957" spans="1:61" ht="15.75" customHeight="1" x14ac:dyDescent="0.5">
      <c r="A957" s="49"/>
      <c r="B957" s="43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43"/>
      <c r="R957" s="43"/>
      <c r="S957" s="43"/>
      <c r="T957" s="43"/>
      <c r="U957" s="43"/>
      <c r="V957" s="43"/>
      <c r="W957" s="43"/>
      <c r="X957" s="43"/>
      <c r="Y957" s="43"/>
      <c r="Z957" s="43"/>
      <c r="AA957" s="43"/>
      <c r="AB957" s="43"/>
      <c r="AC957" s="43"/>
      <c r="AD957" s="43"/>
      <c r="AE957" s="43"/>
      <c r="AF957" s="43"/>
      <c r="AG957" s="43"/>
      <c r="AH957" s="43"/>
      <c r="BB957" s="43"/>
      <c r="BC957" s="43"/>
      <c r="BD957" s="43"/>
      <c r="BE957" s="43"/>
      <c r="BF957" s="43"/>
      <c r="BG957" s="43"/>
      <c r="BH957" s="43"/>
      <c r="BI957" s="43"/>
    </row>
    <row r="958" spans="1:61" ht="15.75" customHeight="1" x14ac:dyDescent="0.5">
      <c r="A958" s="49"/>
      <c r="B958" s="43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43"/>
      <c r="R958" s="43"/>
      <c r="S958" s="43"/>
      <c r="T958" s="43"/>
      <c r="U958" s="43"/>
      <c r="V958" s="43"/>
      <c r="W958" s="43"/>
      <c r="X958" s="43"/>
      <c r="Y958" s="43"/>
      <c r="Z958" s="43"/>
      <c r="AA958" s="43"/>
      <c r="AB958" s="43"/>
      <c r="AC958" s="43"/>
      <c r="AD958" s="43"/>
      <c r="AE958" s="43"/>
      <c r="AF958" s="43"/>
      <c r="AG958" s="43"/>
      <c r="AH958" s="43"/>
      <c r="BB958" s="43"/>
      <c r="BC958" s="43"/>
      <c r="BD958" s="43"/>
      <c r="BE958" s="43"/>
      <c r="BF958" s="43"/>
      <c r="BG958" s="43"/>
      <c r="BH958" s="43"/>
      <c r="BI958" s="43"/>
    </row>
    <row r="959" spans="1:61" ht="15.75" customHeight="1" x14ac:dyDescent="0.5">
      <c r="A959" s="49"/>
      <c r="B959" s="43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43"/>
      <c r="R959" s="43"/>
      <c r="S959" s="43"/>
      <c r="T959" s="43"/>
      <c r="U959" s="43"/>
      <c r="V959" s="43"/>
      <c r="W959" s="43"/>
      <c r="X959" s="43"/>
      <c r="Y959" s="43"/>
      <c r="Z959" s="43"/>
      <c r="AA959" s="43"/>
      <c r="AB959" s="43"/>
      <c r="AC959" s="43"/>
      <c r="AD959" s="43"/>
      <c r="AE959" s="43"/>
      <c r="AF959" s="43"/>
      <c r="AG959" s="43"/>
      <c r="AH959" s="43"/>
      <c r="BB959" s="43"/>
      <c r="BC959" s="43"/>
      <c r="BD959" s="43"/>
      <c r="BE959" s="43"/>
      <c r="BF959" s="43"/>
      <c r="BG959" s="43"/>
      <c r="BH959" s="43"/>
      <c r="BI959" s="43"/>
    </row>
    <row r="960" spans="1:61" ht="15.75" customHeight="1" x14ac:dyDescent="0.5">
      <c r="A960" s="49"/>
      <c r="B960" s="43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43"/>
      <c r="R960" s="43"/>
      <c r="S960" s="43"/>
      <c r="T960" s="43"/>
      <c r="U960" s="43"/>
      <c r="V960" s="43"/>
      <c r="W960" s="43"/>
      <c r="X960" s="43"/>
      <c r="Y960" s="43"/>
      <c r="Z960" s="43"/>
      <c r="AA960" s="43"/>
      <c r="AB960" s="43"/>
      <c r="AC960" s="43"/>
      <c r="AD960" s="43"/>
      <c r="AE960" s="43"/>
      <c r="AF960" s="43"/>
      <c r="AG960" s="43"/>
      <c r="AH960" s="43"/>
      <c r="BB960" s="43"/>
      <c r="BC960" s="43"/>
      <c r="BD960" s="43"/>
      <c r="BE960" s="43"/>
      <c r="BF960" s="43"/>
      <c r="BG960" s="43"/>
      <c r="BH960" s="43"/>
      <c r="BI960" s="43"/>
    </row>
    <row r="961" spans="1:61" ht="15.75" customHeight="1" x14ac:dyDescent="0.5">
      <c r="A961" s="49"/>
      <c r="B961" s="43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43"/>
      <c r="R961" s="43"/>
      <c r="S961" s="43"/>
      <c r="T961" s="43"/>
      <c r="U961" s="43"/>
      <c r="V961" s="43"/>
      <c r="W961" s="43"/>
      <c r="X961" s="43"/>
      <c r="Y961" s="43"/>
      <c r="Z961" s="43"/>
      <c r="AA961" s="43"/>
      <c r="AB961" s="43"/>
      <c r="AC961" s="43"/>
      <c r="AD961" s="43"/>
      <c r="AE961" s="43"/>
      <c r="AF961" s="43"/>
      <c r="AG961" s="43"/>
      <c r="AH961" s="43"/>
      <c r="BB961" s="43"/>
      <c r="BC961" s="43"/>
      <c r="BD961" s="43"/>
      <c r="BE961" s="43"/>
      <c r="BF961" s="43"/>
      <c r="BG961" s="43"/>
      <c r="BH961" s="43"/>
      <c r="BI961" s="43"/>
    </row>
    <row r="962" spans="1:61" ht="15.75" customHeight="1" x14ac:dyDescent="0.5">
      <c r="A962" s="49"/>
      <c r="B962" s="43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43"/>
      <c r="R962" s="43"/>
      <c r="S962" s="43"/>
      <c r="T962" s="43"/>
      <c r="U962" s="43"/>
      <c r="V962" s="43"/>
      <c r="W962" s="43"/>
      <c r="X962" s="43"/>
      <c r="Y962" s="43"/>
      <c r="Z962" s="43"/>
      <c r="AA962" s="43"/>
      <c r="AB962" s="43"/>
      <c r="AC962" s="43"/>
      <c r="AD962" s="43"/>
      <c r="AE962" s="43"/>
      <c r="AF962" s="43"/>
      <c r="AG962" s="43"/>
      <c r="AH962" s="43"/>
      <c r="BB962" s="43"/>
      <c r="BC962" s="43"/>
      <c r="BD962" s="43"/>
      <c r="BE962" s="43"/>
      <c r="BF962" s="43"/>
      <c r="BG962" s="43"/>
      <c r="BH962" s="43"/>
      <c r="BI962" s="43"/>
    </row>
    <row r="963" spans="1:61" ht="15.75" customHeight="1" x14ac:dyDescent="0.5">
      <c r="A963" s="49"/>
      <c r="B963" s="43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43"/>
      <c r="R963" s="43"/>
      <c r="S963" s="43"/>
      <c r="T963" s="43"/>
      <c r="U963" s="43"/>
      <c r="V963" s="43"/>
      <c r="W963" s="43"/>
      <c r="X963" s="43"/>
      <c r="Y963" s="43"/>
      <c r="Z963" s="43"/>
      <c r="AA963" s="43"/>
      <c r="AB963" s="43"/>
      <c r="AC963" s="43"/>
      <c r="AD963" s="43"/>
      <c r="AE963" s="43"/>
      <c r="AF963" s="43"/>
      <c r="AG963" s="43"/>
      <c r="AH963" s="43"/>
      <c r="BB963" s="43"/>
      <c r="BC963" s="43"/>
      <c r="BD963" s="43"/>
      <c r="BE963" s="43"/>
      <c r="BF963" s="43"/>
      <c r="BG963" s="43"/>
      <c r="BH963" s="43"/>
      <c r="BI963" s="43"/>
    </row>
    <row r="964" spans="1:61" ht="15.75" customHeight="1" x14ac:dyDescent="0.5">
      <c r="A964" s="49"/>
      <c r="B964" s="43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43"/>
      <c r="R964" s="43"/>
      <c r="S964" s="43"/>
      <c r="T964" s="43"/>
      <c r="U964" s="43"/>
      <c r="V964" s="43"/>
      <c r="W964" s="43"/>
      <c r="X964" s="43"/>
      <c r="Y964" s="43"/>
      <c r="Z964" s="43"/>
      <c r="AA964" s="43"/>
      <c r="AB964" s="43"/>
      <c r="AC964" s="43"/>
      <c r="AD964" s="43"/>
      <c r="AE964" s="43"/>
      <c r="AF964" s="43"/>
      <c r="AG964" s="43"/>
      <c r="AH964" s="43"/>
      <c r="BB964" s="43"/>
      <c r="BC964" s="43"/>
      <c r="BD964" s="43"/>
      <c r="BE964" s="43"/>
      <c r="BF964" s="43"/>
      <c r="BG964" s="43"/>
      <c r="BH964" s="43"/>
      <c r="BI964" s="43"/>
    </row>
    <row r="965" spans="1:61" ht="15.75" customHeight="1" x14ac:dyDescent="0.5">
      <c r="A965" s="49"/>
      <c r="B965" s="43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43"/>
      <c r="R965" s="43"/>
      <c r="S965" s="43"/>
      <c r="T965" s="43"/>
      <c r="U965" s="43"/>
      <c r="V965" s="43"/>
      <c r="W965" s="43"/>
      <c r="X965" s="43"/>
      <c r="Y965" s="43"/>
      <c r="Z965" s="43"/>
      <c r="AA965" s="43"/>
      <c r="AB965" s="43"/>
      <c r="AC965" s="43"/>
      <c r="AD965" s="43"/>
      <c r="AE965" s="43"/>
      <c r="AF965" s="43"/>
      <c r="AG965" s="43"/>
      <c r="AH965" s="43"/>
      <c r="BB965" s="43"/>
      <c r="BC965" s="43"/>
      <c r="BD965" s="43"/>
      <c r="BE965" s="43"/>
      <c r="BF965" s="43"/>
      <c r="BG965" s="43"/>
      <c r="BH965" s="43"/>
      <c r="BI965" s="43"/>
    </row>
    <row r="966" spans="1:61" ht="15.75" customHeight="1" x14ac:dyDescent="0.5">
      <c r="A966" s="49"/>
      <c r="B966" s="43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43"/>
      <c r="R966" s="43"/>
      <c r="S966" s="43"/>
      <c r="T966" s="43"/>
      <c r="U966" s="43"/>
      <c r="V966" s="43"/>
      <c r="W966" s="43"/>
      <c r="X966" s="43"/>
      <c r="Y966" s="43"/>
      <c r="Z966" s="43"/>
      <c r="AA966" s="43"/>
      <c r="AB966" s="43"/>
      <c r="AC966" s="43"/>
      <c r="AD966" s="43"/>
      <c r="AE966" s="43"/>
      <c r="AF966" s="43"/>
      <c r="AG966" s="43"/>
      <c r="AH966" s="43"/>
      <c r="BB966" s="43"/>
      <c r="BC966" s="43"/>
      <c r="BD966" s="43"/>
      <c r="BE966" s="43"/>
      <c r="BF966" s="43"/>
      <c r="BG966" s="43"/>
      <c r="BH966" s="43"/>
      <c r="BI966" s="43"/>
    </row>
    <row r="967" spans="1:61" ht="15.75" customHeight="1" x14ac:dyDescent="0.5">
      <c r="A967" s="49"/>
      <c r="B967" s="43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43"/>
      <c r="R967" s="43"/>
      <c r="S967" s="43"/>
      <c r="T967" s="43"/>
      <c r="U967" s="43"/>
      <c r="V967" s="43"/>
      <c r="W967" s="43"/>
      <c r="X967" s="43"/>
      <c r="Y967" s="43"/>
      <c r="Z967" s="43"/>
      <c r="AA967" s="43"/>
      <c r="AB967" s="43"/>
      <c r="AC967" s="43"/>
      <c r="AD967" s="43"/>
      <c r="AE967" s="43"/>
      <c r="AF967" s="43"/>
      <c r="AG967" s="43"/>
      <c r="AH967" s="43"/>
      <c r="BB967" s="43"/>
      <c r="BC967" s="43"/>
      <c r="BD967" s="43"/>
      <c r="BE967" s="43"/>
      <c r="BF967" s="43"/>
      <c r="BG967" s="43"/>
      <c r="BH967" s="43"/>
      <c r="BI967" s="43"/>
    </row>
    <row r="968" spans="1:61" ht="15.75" customHeight="1" x14ac:dyDescent="0.5">
      <c r="A968" s="49"/>
      <c r="B968" s="43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43"/>
      <c r="R968" s="43"/>
      <c r="S968" s="43"/>
      <c r="T968" s="43"/>
      <c r="U968" s="43"/>
      <c r="V968" s="43"/>
      <c r="W968" s="43"/>
      <c r="X968" s="43"/>
      <c r="Y968" s="43"/>
      <c r="Z968" s="43"/>
      <c r="AA968" s="43"/>
      <c r="AB968" s="43"/>
      <c r="AC968" s="43"/>
      <c r="AD968" s="43"/>
      <c r="AE968" s="43"/>
      <c r="AF968" s="43"/>
      <c r="AG968" s="43"/>
      <c r="AH968" s="43"/>
      <c r="BB968" s="43"/>
      <c r="BC968" s="43"/>
      <c r="BD968" s="43"/>
      <c r="BE968" s="43"/>
      <c r="BF968" s="43"/>
      <c r="BG968" s="43"/>
      <c r="BH968" s="43"/>
      <c r="BI968" s="43"/>
    </row>
    <row r="969" spans="1:61" ht="15.75" customHeight="1" x14ac:dyDescent="0.5">
      <c r="A969" s="49"/>
      <c r="B969" s="43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43"/>
      <c r="R969" s="43"/>
      <c r="S969" s="43"/>
      <c r="T969" s="43"/>
      <c r="U969" s="43"/>
      <c r="V969" s="43"/>
      <c r="W969" s="43"/>
      <c r="X969" s="43"/>
      <c r="Y969" s="43"/>
      <c r="Z969" s="43"/>
      <c r="AA969" s="43"/>
      <c r="AB969" s="43"/>
      <c r="AC969" s="43"/>
      <c r="AD969" s="43"/>
      <c r="AE969" s="43"/>
      <c r="AF969" s="43"/>
      <c r="AG969" s="43"/>
      <c r="AH969" s="43"/>
      <c r="BB969" s="43"/>
      <c r="BC969" s="43"/>
      <c r="BD969" s="43"/>
      <c r="BE969" s="43"/>
      <c r="BF969" s="43"/>
      <c r="BG969" s="43"/>
      <c r="BH969" s="43"/>
      <c r="BI969" s="43"/>
    </row>
    <row r="970" spans="1:61" ht="15.75" customHeight="1" x14ac:dyDescent="0.5">
      <c r="A970" s="49"/>
      <c r="B970" s="43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43"/>
      <c r="R970" s="43"/>
      <c r="S970" s="43"/>
      <c r="T970" s="43"/>
      <c r="U970" s="43"/>
      <c r="V970" s="43"/>
      <c r="W970" s="43"/>
      <c r="X970" s="43"/>
      <c r="Y970" s="43"/>
      <c r="Z970" s="43"/>
      <c r="AA970" s="43"/>
      <c r="AB970" s="43"/>
      <c r="AC970" s="43"/>
      <c r="AD970" s="43"/>
      <c r="AE970" s="43"/>
      <c r="AF970" s="43"/>
      <c r="AG970" s="43"/>
      <c r="AH970" s="43"/>
      <c r="BB970" s="43"/>
      <c r="BC970" s="43"/>
      <c r="BD970" s="43"/>
      <c r="BE970" s="43"/>
      <c r="BF970" s="43"/>
      <c r="BG970" s="43"/>
      <c r="BH970" s="43"/>
      <c r="BI970" s="43"/>
    </row>
    <row r="971" spans="1:61" ht="15.75" customHeight="1" x14ac:dyDescent="0.5">
      <c r="A971" s="49"/>
      <c r="B971" s="43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43"/>
      <c r="R971" s="43"/>
      <c r="S971" s="43"/>
      <c r="T971" s="43"/>
      <c r="U971" s="43"/>
      <c r="V971" s="43"/>
      <c r="W971" s="43"/>
      <c r="X971" s="43"/>
      <c r="Y971" s="43"/>
      <c r="Z971" s="43"/>
      <c r="AA971" s="43"/>
      <c r="AB971" s="43"/>
      <c r="AC971" s="43"/>
      <c r="AD971" s="43"/>
      <c r="AE971" s="43"/>
      <c r="AF971" s="43"/>
      <c r="AG971" s="43"/>
      <c r="AH971" s="43"/>
      <c r="BB971" s="43"/>
      <c r="BC971" s="43"/>
      <c r="BD971" s="43"/>
      <c r="BE971" s="43"/>
      <c r="BF971" s="43"/>
      <c r="BG971" s="43"/>
      <c r="BH971" s="43"/>
      <c r="BI971" s="43"/>
    </row>
    <row r="972" spans="1:61" ht="15.75" customHeight="1" x14ac:dyDescent="0.5">
      <c r="A972" s="49"/>
      <c r="B972" s="43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43"/>
      <c r="R972" s="43"/>
      <c r="S972" s="43"/>
      <c r="T972" s="43"/>
      <c r="U972" s="43"/>
      <c r="V972" s="43"/>
      <c r="W972" s="43"/>
      <c r="X972" s="43"/>
      <c r="Y972" s="43"/>
      <c r="Z972" s="43"/>
      <c r="AA972" s="43"/>
      <c r="AB972" s="43"/>
      <c r="AC972" s="43"/>
      <c r="AD972" s="43"/>
      <c r="AE972" s="43"/>
      <c r="AF972" s="43"/>
      <c r="AG972" s="43"/>
      <c r="AH972" s="43"/>
      <c r="BB972" s="43"/>
      <c r="BC972" s="43"/>
      <c r="BD972" s="43"/>
      <c r="BE972" s="43"/>
      <c r="BF972" s="43"/>
      <c r="BG972" s="43"/>
      <c r="BH972" s="43"/>
      <c r="BI972" s="43"/>
    </row>
    <row r="973" spans="1:61" ht="15.75" customHeight="1" x14ac:dyDescent="0.5">
      <c r="A973" s="49"/>
      <c r="B973" s="43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43"/>
      <c r="R973" s="43"/>
      <c r="S973" s="43"/>
      <c r="T973" s="43"/>
      <c r="U973" s="43"/>
      <c r="V973" s="43"/>
      <c r="W973" s="43"/>
      <c r="X973" s="43"/>
      <c r="Y973" s="43"/>
      <c r="Z973" s="43"/>
      <c r="AA973" s="43"/>
      <c r="AB973" s="43"/>
      <c r="AC973" s="43"/>
      <c r="AD973" s="43"/>
      <c r="AE973" s="43"/>
      <c r="AF973" s="43"/>
      <c r="AG973" s="43"/>
      <c r="AH973" s="43"/>
      <c r="BB973" s="43"/>
      <c r="BC973" s="43"/>
      <c r="BD973" s="43"/>
      <c r="BE973" s="43"/>
      <c r="BF973" s="43"/>
      <c r="BG973" s="43"/>
      <c r="BH973" s="43"/>
      <c r="BI973" s="43"/>
    </row>
    <row r="974" spans="1:61" ht="15.75" customHeight="1" x14ac:dyDescent="0.5">
      <c r="A974" s="49"/>
      <c r="B974" s="43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43"/>
      <c r="R974" s="43"/>
      <c r="S974" s="43"/>
      <c r="T974" s="43"/>
      <c r="U974" s="43"/>
      <c r="V974" s="43"/>
      <c r="W974" s="43"/>
      <c r="X974" s="43"/>
      <c r="Y974" s="43"/>
      <c r="Z974" s="43"/>
      <c r="AA974" s="43"/>
      <c r="AB974" s="43"/>
      <c r="AC974" s="43"/>
      <c r="AD974" s="43"/>
      <c r="AE974" s="43"/>
      <c r="AF974" s="43"/>
      <c r="AG974" s="43"/>
      <c r="AH974" s="43"/>
      <c r="BB974" s="43"/>
      <c r="BC974" s="43"/>
      <c r="BD974" s="43"/>
      <c r="BE974" s="43"/>
      <c r="BF974" s="43"/>
      <c r="BG974" s="43"/>
      <c r="BH974" s="43"/>
      <c r="BI974" s="43"/>
    </row>
    <row r="975" spans="1:61" ht="15.75" customHeight="1" x14ac:dyDescent="0.5">
      <c r="A975" s="49"/>
      <c r="B975" s="43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43"/>
      <c r="R975" s="43"/>
      <c r="S975" s="43"/>
      <c r="T975" s="43"/>
      <c r="U975" s="43"/>
      <c r="V975" s="43"/>
      <c r="W975" s="43"/>
      <c r="X975" s="43"/>
      <c r="Y975" s="43"/>
      <c r="Z975" s="43"/>
      <c r="AA975" s="43"/>
      <c r="AB975" s="43"/>
      <c r="AC975" s="43"/>
      <c r="AD975" s="43"/>
      <c r="AE975" s="43"/>
      <c r="AF975" s="43"/>
      <c r="AG975" s="43"/>
      <c r="AH975" s="43"/>
      <c r="BB975" s="43"/>
      <c r="BC975" s="43"/>
      <c r="BD975" s="43"/>
      <c r="BE975" s="43"/>
      <c r="BF975" s="43"/>
      <c r="BG975" s="43"/>
      <c r="BH975" s="43"/>
      <c r="BI975" s="43"/>
    </row>
    <row r="976" spans="1:61" ht="15.75" customHeight="1" x14ac:dyDescent="0.5">
      <c r="A976" s="49"/>
      <c r="B976" s="43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43"/>
      <c r="R976" s="43"/>
      <c r="S976" s="43"/>
      <c r="T976" s="43"/>
      <c r="U976" s="43"/>
      <c r="V976" s="43"/>
      <c r="W976" s="43"/>
      <c r="X976" s="43"/>
      <c r="Y976" s="43"/>
      <c r="Z976" s="43"/>
      <c r="AA976" s="43"/>
      <c r="AB976" s="43"/>
      <c r="AC976" s="43"/>
      <c r="AD976" s="43"/>
      <c r="AE976" s="43"/>
      <c r="AF976" s="43"/>
      <c r="AG976" s="43"/>
      <c r="AH976" s="43"/>
      <c r="BB976" s="43"/>
      <c r="BC976" s="43"/>
      <c r="BD976" s="43"/>
      <c r="BE976" s="43"/>
      <c r="BF976" s="43"/>
      <c r="BG976" s="43"/>
      <c r="BH976" s="43"/>
      <c r="BI976" s="43"/>
    </row>
    <row r="977" spans="1:61" ht="15.75" customHeight="1" x14ac:dyDescent="0.5">
      <c r="A977" s="49"/>
      <c r="B977" s="43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43"/>
      <c r="R977" s="43"/>
      <c r="S977" s="43"/>
      <c r="T977" s="43"/>
      <c r="U977" s="43"/>
      <c r="V977" s="43"/>
      <c r="W977" s="43"/>
      <c r="X977" s="43"/>
      <c r="Y977" s="43"/>
      <c r="Z977" s="43"/>
      <c r="AA977" s="43"/>
      <c r="AB977" s="43"/>
      <c r="AC977" s="43"/>
      <c r="AD977" s="43"/>
      <c r="AE977" s="43"/>
      <c r="AF977" s="43"/>
      <c r="AG977" s="43"/>
      <c r="AH977" s="43"/>
      <c r="BB977" s="43"/>
      <c r="BC977" s="43"/>
      <c r="BD977" s="43"/>
      <c r="BE977" s="43"/>
      <c r="BF977" s="43"/>
      <c r="BG977" s="43"/>
      <c r="BH977" s="43"/>
      <c r="BI977" s="43"/>
    </row>
    <row r="978" spans="1:61" ht="15.75" customHeight="1" x14ac:dyDescent="0.5">
      <c r="A978" s="49"/>
      <c r="B978" s="43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43"/>
      <c r="R978" s="43"/>
      <c r="S978" s="43"/>
      <c r="T978" s="43"/>
      <c r="U978" s="43"/>
      <c r="V978" s="43"/>
      <c r="W978" s="43"/>
      <c r="X978" s="43"/>
      <c r="Y978" s="43"/>
      <c r="Z978" s="43"/>
      <c r="AA978" s="43"/>
      <c r="AB978" s="43"/>
      <c r="AC978" s="43"/>
      <c r="AD978" s="43"/>
      <c r="AE978" s="43"/>
      <c r="AF978" s="43"/>
      <c r="AG978" s="43"/>
      <c r="AH978" s="43"/>
      <c r="BB978" s="43"/>
      <c r="BC978" s="43"/>
      <c r="BD978" s="43"/>
      <c r="BE978" s="43"/>
      <c r="BF978" s="43"/>
      <c r="BG978" s="43"/>
      <c r="BH978" s="43"/>
      <c r="BI978" s="43"/>
    </row>
    <row r="979" spans="1:61" ht="15.75" customHeight="1" x14ac:dyDescent="0.5">
      <c r="A979" s="49"/>
      <c r="B979" s="43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43"/>
      <c r="R979" s="43"/>
      <c r="S979" s="43"/>
      <c r="T979" s="43"/>
      <c r="U979" s="43"/>
      <c r="V979" s="43"/>
      <c r="W979" s="43"/>
      <c r="X979" s="43"/>
      <c r="Y979" s="43"/>
      <c r="Z979" s="43"/>
      <c r="AA979" s="43"/>
      <c r="AB979" s="43"/>
      <c r="AC979" s="43"/>
      <c r="AD979" s="43"/>
      <c r="AE979" s="43"/>
      <c r="AF979" s="43"/>
      <c r="AG979" s="43"/>
      <c r="AH979" s="43"/>
      <c r="BB979" s="43"/>
      <c r="BC979" s="43"/>
      <c r="BD979" s="43"/>
      <c r="BE979" s="43"/>
      <c r="BF979" s="43"/>
      <c r="BG979" s="43"/>
      <c r="BH979" s="43"/>
      <c r="BI979" s="43"/>
    </row>
    <row r="980" spans="1:61" ht="15.75" customHeight="1" x14ac:dyDescent="0.5">
      <c r="A980" s="49"/>
      <c r="B980" s="43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43"/>
      <c r="R980" s="43"/>
      <c r="S980" s="43"/>
      <c r="T980" s="43"/>
      <c r="U980" s="43"/>
      <c r="V980" s="43"/>
      <c r="W980" s="43"/>
      <c r="X980" s="43"/>
      <c r="Y980" s="43"/>
      <c r="Z980" s="43"/>
      <c r="AA980" s="43"/>
      <c r="AB980" s="43"/>
      <c r="AC980" s="43"/>
      <c r="AD980" s="43"/>
      <c r="AE980" s="43"/>
      <c r="AF980" s="43"/>
      <c r="AG980" s="43"/>
      <c r="AH980" s="43"/>
      <c r="BB980" s="43"/>
      <c r="BC980" s="43"/>
      <c r="BD980" s="43"/>
      <c r="BE980" s="43"/>
      <c r="BF980" s="43"/>
      <c r="BG980" s="43"/>
      <c r="BH980" s="43"/>
      <c r="BI980" s="43"/>
    </row>
    <row r="981" spans="1:61" ht="15.75" customHeight="1" x14ac:dyDescent="0.5">
      <c r="A981" s="49"/>
      <c r="B981" s="43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43"/>
      <c r="R981" s="43"/>
      <c r="S981" s="43"/>
      <c r="T981" s="43"/>
      <c r="U981" s="43"/>
      <c r="V981" s="43"/>
      <c r="W981" s="43"/>
      <c r="X981" s="43"/>
      <c r="Y981" s="43"/>
      <c r="Z981" s="43"/>
      <c r="AA981" s="43"/>
      <c r="AB981" s="43"/>
      <c r="AC981" s="43"/>
      <c r="AD981" s="43"/>
      <c r="AE981" s="43"/>
      <c r="AF981" s="43"/>
      <c r="AG981" s="43"/>
      <c r="AH981" s="43"/>
      <c r="BB981" s="43"/>
      <c r="BC981" s="43"/>
      <c r="BD981" s="43"/>
      <c r="BE981" s="43"/>
      <c r="BF981" s="43"/>
      <c r="BG981" s="43"/>
      <c r="BH981" s="43"/>
      <c r="BI981" s="43"/>
    </row>
    <row r="982" spans="1:61" ht="15.75" customHeight="1" x14ac:dyDescent="0.5">
      <c r="A982" s="49"/>
      <c r="B982" s="43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43"/>
      <c r="R982" s="43"/>
      <c r="S982" s="43"/>
      <c r="T982" s="43"/>
      <c r="U982" s="43"/>
      <c r="V982" s="43"/>
      <c r="W982" s="43"/>
      <c r="X982" s="43"/>
      <c r="Y982" s="43"/>
      <c r="Z982" s="43"/>
      <c r="AA982" s="43"/>
      <c r="AB982" s="43"/>
      <c r="AC982" s="43"/>
      <c r="AD982" s="43"/>
      <c r="AE982" s="43"/>
      <c r="AF982" s="43"/>
      <c r="AG982" s="43"/>
      <c r="AH982" s="43"/>
      <c r="BB982" s="43"/>
      <c r="BC982" s="43"/>
      <c r="BD982" s="43"/>
      <c r="BE982" s="43"/>
      <c r="BF982" s="43"/>
      <c r="BG982" s="43"/>
      <c r="BH982" s="43"/>
      <c r="BI982" s="43"/>
    </row>
    <row r="983" spans="1:61" ht="15.75" customHeight="1" x14ac:dyDescent="0.5">
      <c r="A983" s="49"/>
      <c r="B983" s="43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43"/>
      <c r="R983" s="43"/>
      <c r="S983" s="43"/>
      <c r="T983" s="43"/>
      <c r="U983" s="43"/>
      <c r="V983" s="43"/>
      <c r="W983" s="43"/>
      <c r="X983" s="43"/>
      <c r="Y983" s="43"/>
      <c r="Z983" s="43"/>
      <c r="AA983" s="43"/>
      <c r="AB983" s="43"/>
      <c r="AC983" s="43"/>
      <c r="AD983" s="43"/>
      <c r="AE983" s="43"/>
      <c r="AF983" s="43"/>
      <c r="AG983" s="43"/>
      <c r="AH983" s="43"/>
      <c r="BB983" s="43"/>
      <c r="BC983" s="43"/>
      <c r="BD983" s="43"/>
      <c r="BE983" s="43"/>
      <c r="BF983" s="43"/>
      <c r="BG983" s="43"/>
      <c r="BH983" s="43"/>
      <c r="BI983" s="43"/>
    </row>
    <row r="984" spans="1:61" ht="15.75" customHeight="1" x14ac:dyDescent="0.5">
      <c r="A984" s="49"/>
      <c r="B984" s="43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43"/>
      <c r="R984" s="43"/>
      <c r="S984" s="43"/>
      <c r="T984" s="43"/>
      <c r="U984" s="43"/>
      <c r="V984" s="43"/>
      <c r="W984" s="43"/>
      <c r="X984" s="43"/>
      <c r="Y984" s="43"/>
      <c r="Z984" s="43"/>
      <c r="AA984" s="43"/>
      <c r="AB984" s="43"/>
      <c r="AC984" s="43"/>
      <c r="AD984" s="43"/>
      <c r="AE984" s="43"/>
      <c r="AF984" s="43"/>
      <c r="AG984" s="43"/>
      <c r="AH984" s="43"/>
      <c r="BB984" s="43"/>
      <c r="BC984" s="43"/>
      <c r="BD984" s="43"/>
      <c r="BE984" s="43"/>
      <c r="BF984" s="43"/>
      <c r="BG984" s="43"/>
      <c r="BH984" s="43"/>
      <c r="BI984" s="43"/>
    </row>
    <row r="985" spans="1:61" ht="15.75" customHeight="1" x14ac:dyDescent="0.5">
      <c r="A985" s="49"/>
      <c r="B985" s="43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43"/>
      <c r="R985" s="43"/>
      <c r="S985" s="43"/>
      <c r="T985" s="43"/>
      <c r="U985" s="43"/>
      <c r="V985" s="43"/>
      <c r="W985" s="43"/>
      <c r="X985" s="43"/>
      <c r="Y985" s="43"/>
      <c r="Z985" s="43"/>
      <c r="AA985" s="43"/>
      <c r="AB985" s="43"/>
      <c r="AC985" s="43"/>
      <c r="AD985" s="43"/>
      <c r="AE985" s="43"/>
      <c r="AF985" s="43"/>
      <c r="AG985" s="43"/>
      <c r="AH985" s="43"/>
      <c r="BB985" s="43"/>
      <c r="BC985" s="43"/>
      <c r="BD985" s="43"/>
      <c r="BE985" s="43"/>
      <c r="BF985" s="43"/>
      <c r="BG985" s="43"/>
      <c r="BH985" s="43"/>
      <c r="BI985" s="43"/>
    </row>
    <row r="986" spans="1:61" ht="15.75" customHeight="1" x14ac:dyDescent="0.5">
      <c r="A986" s="49"/>
      <c r="B986" s="43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43"/>
      <c r="R986" s="43"/>
      <c r="S986" s="43"/>
      <c r="T986" s="43"/>
      <c r="U986" s="43"/>
      <c r="V986" s="43"/>
      <c r="W986" s="43"/>
      <c r="X986" s="43"/>
      <c r="Y986" s="43"/>
      <c r="Z986" s="43"/>
      <c r="AA986" s="43"/>
      <c r="AB986" s="43"/>
      <c r="AC986" s="43"/>
      <c r="AD986" s="43"/>
      <c r="AE986" s="43"/>
      <c r="AF986" s="43"/>
      <c r="AG986" s="43"/>
      <c r="AH986" s="43"/>
      <c r="BB986" s="43"/>
      <c r="BC986" s="43"/>
      <c r="BD986" s="43"/>
      <c r="BE986" s="43"/>
      <c r="BF986" s="43"/>
      <c r="BG986" s="43"/>
      <c r="BH986" s="43"/>
      <c r="BI986" s="43"/>
    </row>
    <row r="987" spans="1:61" ht="15.75" customHeight="1" x14ac:dyDescent="0.5">
      <c r="A987" s="49"/>
      <c r="B987" s="43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43"/>
      <c r="R987" s="43"/>
      <c r="S987" s="43"/>
      <c r="T987" s="43"/>
      <c r="U987" s="43"/>
      <c r="V987" s="43"/>
      <c r="W987" s="43"/>
      <c r="X987" s="43"/>
      <c r="Y987" s="43"/>
      <c r="Z987" s="43"/>
      <c r="AA987" s="43"/>
      <c r="AB987" s="43"/>
      <c r="AC987" s="43"/>
      <c r="AD987" s="43"/>
      <c r="AE987" s="43"/>
      <c r="AF987" s="43"/>
      <c r="AG987" s="43"/>
      <c r="AH987" s="43"/>
      <c r="BB987" s="43"/>
      <c r="BC987" s="43"/>
      <c r="BD987" s="43"/>
      <c r="BE987" s="43"/>
      <c r="BF987" s="43"/>
      <c r="BG987" s="43"/>
      <c r="BH987" s="43"/>
      <c r="BI987" s="43"/>
    </row>
    <row r="988" spans="1:61" ht="15.75" customHeight="1" x14ac:dyDescent="0.5">
      <c r="A988" s="49"/>
      <c r="B988" s="43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43"/>
      <c r="R988" s="43"/>
      <c r="S988" s="43"/>
      <c r="T988" s="43"/>
      <c r="U988" s="43"/>
      <c r="V988" s="43"/>
      <c r="W988" s="43"/>
      <c r="X988" s="43"/>
      <c r="Y988" s="43"/>
      <c r="Z988" s="43"/>
      <c r="AA988" s="43"/>
      <c r="AB988" s="43"/>
      <c r="AC988" s="43"/>
      <c r="AD988" s="43"/>
      <c r="AE988" s="43"/>
      <c r="AF988" s="43"/>
      <c r="AG988" s="43"/>
      <c r="AH988" s="43"/>
      <c r="BB988" s="43"/>
      <c r="BC988" s="43"/>
      <c r="BD988" s="43"/>
      <c r="BE988" s="43"/>
      <c r="BF988" s="43"/>
      <c r="BG988" s="43"/>
      <c r="BH988" s="43"/>
      <c r="BI988" s="43"/>
    </row>
    <row r="989" spans="1:61" ht="15.75" customHeight="1" x14ac:dyDescent="0.5">
      <c r="A989" s="49"/>
      <c r="B989" s="43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43"/>
      <c r="R989" s="43"/>
      <c r="S989" s="43"/>
      <c r="T989" s="43"/>
      <c r="U989" s="43"/>
      <c r="V989" s="43"/>
      <c r="W989" s="43"/>
      <c r="X989" s="43"/>
      <c r="Y989" s="43"/>
      <c r="Z989" s="43"/>
      <c r="AA989" s="43"/>
      <c r="AB989" s="43"/>
      <c r="AC989" s="43"/>
      <c r="AD989" s="43"/>
      <c r="AE989" s="43"/>
      <c r="AF989" s="43"/>
      <c r="AG989" s="43"/>
      <c r="AH989" s="43"/>
      <c r="BB989" s="43"/>
      <c r="BC989" s="43"/>
      <c r="BD989" s="43"/>
      <c r="BE989" s="43"/>
      <c r="BF989" s="43"/>
      <c r="BG989" s="43"/>
      <c r="BH989" s="43"/>
      <c r="BI989" s="43"/>
    </row>
    <row r="990" spans="1:61" ht="15.75" customHeight="1" x14ac:dyDescent="0.5">
      <c r="A990" s="49"/>
      <c r="B990" s="43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43"/>
      <c r="R990" s="43"/>
      <c r="S990" s="43"/>
      <c r="T990" s="43"/>
      <c r="U990" s="43"/>
      <c r="V990" s="43"/>
      <c r="W990" s="43"/>
      <c r="X990" s="43"/>
      <c r="Y990" s="43"/>
      <c r="Z990" s="43"/>
      <c r="AA990" s="43"/>
      <c r="AB990" s="43"/>
      <c r="AC990" s="43"/>
      <c r="AD990" s="43"/>
      <c r="AE990" s="43"/>
      <c r="AF990" s="43"/>
      <c r="AG990" s="43"/>
      <c r="AH990" s="43"/>
      <c r="BB990" s="43"/>
      <c r="BC990" s="43"/>
      <c r="BD990" s="43"/>
      <c r="BE990" s="43"/>
      <c r="BF990" s="43"/>
      <c r="BG990" s="43"/>
      <c r="BH990" s="43"/>
      <c r="BI990" s="43"/>
    </row>
    <row r="991" spans="1:61" ht="15.75" customHeight="1" x14ac:dyDescent="0.5">
      <c r="A991" s="49"/>
      <c r="B991" s="43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43"/>
      <c r="R991" s="43"/>
      <c r="S991" s="43"/>
      <c r="T991" s="43"/>
      <c r="U991" s="43"/>
      <c r="V991" s="43"/>
      <c r="W991" s="43"/>
      <c r="X991" s="43"/>
      <c r="Y991" s="43"/>
      <c r="Z991" s="43"/>
      <c r="AA991" s="43"/>
      <c r="AB991" s="43"/>
      <c r="AC991" s="43"/>
      <c r="AD991" s="43"/>
      <c r="AE991" s="43"/>
      <c r="AF991" s="43"/>
      <c r="AG991" s="43"/>
      <c r="AH991" s="43"/>
      <c r="BB991" s="43"/>
      <c r="BC991" s="43"/>
      <c r="BD991" s="43"/>
      <c r="BE991" s="43"/>
      <c r="BF991" s="43"/>
      <c r="BG991" s="43"/>
      <c r="BH991" s="43"/>
      <c r="BI991" s="43"/>
    </row>
    <row r="992" spans="1:61" ht="15.75" customHeight="1" x14ac:dyDescent="0.5">
      <c r="A992" s="49"/>
      <c r="B992" s="43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43"/>
      <c r="R992" s="43"/>
      <c r="S992" s="43"/>
      <c r="T992" s="43"/>
      <c r="U992" s="43"/>
      <c r="V992" s="43"/>
      <c r="W992" s="43"/>
      <c r="X992" s="43"/>
      <c r="Y992" s="43"/>
      <c r="Z992" s="43"/>
      <c r="AA992" s="43"/>
      <c r="AB992" s="43"/>
      <c r="AC992" s="43"/>
      <c r="AD992" s="43"/>
      <c r="AE992" s="43"/>
      <c r="AF992" s="43"/>
      <c r="AG992" s="43"/>
      <c r="AH992" s="43"/>
      <c r="BB992" s="43"/>
      <c r="BC992" s="43"/>
      <c r="BD992" s="43"/>
      <c r="BE992" s="43"/>
      <c r="BF992" s="43"/>
      <c r="BG992" s="43"/>
      <c r="BH992" s="43"/>
      <c r="BI992" s="43"/>
    </row>
    <row r="993" spans="1:61" ht="15.75" customHeight="1" x14ac:dyDescent="0.5">
      <c r="A993" s="49"/>
      <c r="B993" s="43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43"/>
      <c r="R993" s="43"/>
      <c r="S993" s="43"/>
      <c r="T993" s="43"/>
      <c r="U993" s="43"/>
      <c r="V993" s="43"/>
      <c r="W993" s="43"/>
      <c r="X993" s="43"/>
      <c r="Y993" s="43"/>
      <c r="Z993" s="43"/>
      <c r="AA993" s="43"/>
      <c r="AB993" s="43"/>
      <c r="AC993" s="43"/>
      <c r="AD993" s="43"/>
      <c r="AE993" s="43"/>
      <c r="AF993" s="43"/>
      <c r="AG993" s="43"/>
      <c r="AH993" s="43"/>
      <c r="BB993" s="43"/>
      <c r="BC993" s="43"/>
      <c r="BD993" s="43"/>
      <c r="BE993" s="43"/>
      <c r="BF993" s="43"/>
      <c r="BG993" s="43"/>
      <c r="BH993" s="43"/>
      <c r="BI993" s="43"/>
    </row>
    <row r="994" spans="1:61" ht="15.75" customHeight="1" x14ac:dyDescent="0.5">
      <c r="A994" s="49"/>
      <c r="B994" s="43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43"/>
      <c r="R994" s="43"/>
      <c r="S994" s="43"/>
      <c r="T994" s="43"/>
      <c r="U994" s="43"/>
      <c r="V994" s="43"/>
      <c r="W994" s="43"/>
      <c r="X994" s="43"/>
      <c r="Y994" s="43"/>
      <c r="Z994" s="43"/>
      <c r="AA994" s="43"/>
      <c r="AB994" s="43"/>
      <c r="AC994" s="43"/>
      <c r="AD994" s="43"/>
      <c r="AE994" s="43"/>
      <c r="AF994" s="43"/>
      <c r="AG994" s="43"/>
      <c r="AH994" s="43"/>
      <c r="BB994" s="43"/>
      <c r="BC994" s="43"/>
      <c r="BD994" s="43"/>
      <c r="BE994" s="43"/>
      <c r="BF994" s="43"/>
      <c r="BG994" s="43"/>
      <c r="BH994" s="43"/>
      <c r="BI994" s="43"/>
    </row>
    <row r="995" spans="1:61" ht="15.75" customHeight="1" x14ac:dyDescent="0.5">
      <c r="A995" s="49"/>
      <c r="B995" s="43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43"/>
      <c r="R995" s="43"/>
      <c r="S995" s="43"/>
      <c r="T995" s="43"/>
      <c r="U995" s="43"/>
      <c r="V995" s="43"/>
      <c r="W995" s="43"/>
      <c r="X995" s="43"/>
      <c r="Y995" s="43"/>
      <c r="Z995" s="43"/>
      <c r="AA995" s="43"/>
      <c r="AB995" s="43"/>
      <c r="AC995" s="43"/>
      <c r="AD995" s="43"/>
      <c r="AE995" s="43"/>
      <c r="AF995" s="43"/>
      <c r="AG995" s="43"/>
      <c r="AH995" s="43"/>
      <c r="BB995" s="43"/>
      <c r="BC995" s="43"/>
      <c r="BD995" s="43"/>
      <c r="BE995" s="43"/>
      <c r="BF995" s="43"/>
      <c r="BG995" s="43"/>
      <c r="BH995" s="43"/>
      <c r="BI995" s="43"/>
    </row>
    <row r="996" spans="1:61" ht="15.75" customHeight="1" x14ac:dyDescent="0.5">
      <c r="A996" s="49"/>
      <c r="B996" s="43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43"/>
      <c r="R996" s="43"/>
      <c r="S996" s="43"/>
      <c r="T996" s="43"/>
      <c r="U996" s="43"/>
      <c r="V996" s="43"/>
      <c r="W996" s="43"/>
      <c r="X996" s="43"/>
      <c r="Y996" s="43"/>
      <c r="Z996" s="43"/>
      <c r="AA996" s="43"/>
      <c r="AB996" s="43"/>
      <c r="AC996" s="43"/>
      <c r="AD996" s="43"/>
      <c r="AE996" s="43"/>
      <c r="AF996" s="43"/>
      <c r="AG996" s="43"/>
      <c r="AH996" s="43"/>
      <c r="BB996" s="43"/>
      <c r="BC996" s="43"/>
      <c r="BD996" s="43"/>
      <c r="BE996" s="43"/>
      <c r="BF996" s="43"/>
      <c r="BG996" s="43"/>
      <c r="BH996" s="43"/>
      <c r="BI996" s="43"/>
    </row>
    <row r="997" spans="1:61" ht="15.75" customHeight="1" x14ac:dyDescent="0.5">
      <c r="A997" s="49"/>
      <c r="B997" s="43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43"/>
      <c r="R997" s="43"/>
      <c r="S997" s="43"/>
      <c r="T997" s="43"/>
      <c r="U997" s="43"/>
      <c r="V997" s="43"/>
      <c r="W997" s="43"/>
      <c r="X997" s="43"/>
      <c r="Y997" s="43"/>
      <c r="Z997" s="43"/>
      <c r="AA997" s="43"/>
      <c r="AB997" s="43"/>
      <c r="AC997" s="43"/>
      <c r="AD997" s="43"/>
      <c r="AE997" s="43"/>
      <c r="AF997" s="43"/>
      <c r="AG997" s="43"/>
      <c r="AH997" s="43"/>
      <c r="BB997" s="43"/>
      <c r="BC997" s="43"/>
      <c r="BD997" s="43"/>
      <c r="BE997" s="43"/>
      <c r="BF997" s="43"/>
      <c r="BG997" s="43"/>
      <c r="BH997" s="43"/>
      <c r="BI997" s="43"/>
    </row>
    <row r="998" spans="1:61" ht="15.75" customHeight="1" x14ac:dyDescent="0.5">
      <c r="A998" s="49"/>
      <c r="B998" s="43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43"/>
      <c r="R998" s="43"/>
      <c r="S998" s="43"/>
      <c r="T998" s="43"/>
      <c r="U998" s="43"/>
      <c r="V998" s="43"/>
      <c r="W998" s="43"/>
      <c r="X998" s="43"/>
      <c r="Y998" s="43"/>
      <c r="Z998" s="43"/>
      <c r="AA998" s="43"/>
      <c r="AB998" s="43"/>
      <c r="AC998" s="43"/>
      <c r="AD998" s="43"/>
      <c r="AE998" s="43"/>
      <c r="AF998" s="43"/>
      <c r="AG998" s="43"/>
      <c r="AH998" s="43"/>
      <c r="BB998" s="43"/>
      <c r="BC998" s="43"/>
      <c r="BD998" s="43"/>
      <c r="BE998" s="43"/>
      <c r="BF998" s="43"/>
      <c r="BG998" s="43"/>
      <c r="BH998" s="43"/>
      <c r="BI998" s="43"/>
    </row>
    <row r="999" spans="1:61" ht="15.75" customHeight="1" x14ac:dyDescent="0.5">
      <c r="A999" s="49"/>
      <c r="B999" s="43"/>
      <c r="C999" s="57"/>
      <c r="D999" s="57"/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43"/>
      <c r="R999" s="43"/>
      <c r="S999" s="43"/>
      <c r="T999" s="43"/>
      <c r="U999" s="43"/>
      <c r="V999" s="43"/>
      <c r="W999" s="43"/>
      <c r="X999" s="43"/>
      <c r="Y999" s="43"/>
      <c r="Z999" s="43"/>
      <c r="AA999" s="43"/>
      <c r="AB999" s="43"/>
      <c r="AC999" s="43"/>
      <c r="AD999" s="43"/>
      <c r="AE999" s="43"/>
      <c r="AF999" s="43"/>
      <c r="AG999" s="43"/>
      <c r="AH999" s="43"/>
      <c r="BB999" s="43"/>
      <c r="BC999" s="43"/>
      <c r="BD999" s="43"/>
      <c r="BE999" s="43"/>
      <c r="BF999" s="43"/>
      <c r="BG999" s="43"/>
      <c r="BH999" s="43"/>
      <c r="BI999" s="43"/>
    </row>
    <row r="1000" spans="1:61" ht="15.75" customHeight="1" x14ac:dyDescent="0.5">
      <c r="A1000" s="49"/>
      <c r="B1000" s="43"/>
      <c r="C1000" s="57"/>
      <c r="D1000" s="57"/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  <c r="AA1000" s="43"/>
      <c r="AB1000" s="43"/>
      <c r="AC1000" s="43"/>
      <c r="AD1000" s="43"/>
      <c r="AE1000" s="43"/>
      <c r="AF1000" s="43"/>
      <c r="AG1000" s="43"/>
      <c r="AH1000" s="43"/>
      <c r="BB1000" s="43"/>
      <c r="BC1000" s="43"/>
      <c r="BD1000" s="43"/>
      <c r="BE1000" s="43"/>
      <c r="BF1000" s="43"/>
      <c r="BG1000" s="43"/>
      <c r="BH1000" s="43"/>
      <c r="BI1000" s="43"/>
    </row>
    <row r="1001" spans="1:61" ht="15.75" customHeight="1" x14ac:dyDescent="0.5">
      <c r="A1001" s="49"/>
      <c r="B1001" s="43"/>
      <c r="C1001" s="57"/>
      <c r="D1001" s="57"/>
      <c r="E1001" s="57"/>
      <c r="F1001" s="57"/>
      <c r="G1001" s="57"/>
      <c r="H1001" s="57"/>
      <c r="I1001" s="57"/>
      <c r="J1001" s="57"/>
      <c r="K1001" s="57"/>
      <c r="L1001" s="57"/>
      <c r="M1001" s="57"/>
      <c r="N1001" s="57"/>
      <c r="O1001" s="57"/>
      <c r="P1001" s="57"/>
      <c r="Q1001" s="43"/>
      <c r="R1001" s="43"/>
      <c r="S1001" s="43"/>
      <c r="T1001" s="43"/>
      <c r="U1001" s="43"/>
      <c r="V1001" s="43"/>
      <c r="W1001" s="43"/>
      <c r="X1001" s="43"/>
      <c r="Y1001" s="43"/>
      <c r="Z1001" s="43"/>
      <c r="AA1001" s="43"/>
      <c r="AB1001" s="43"/>
      <c r="AC1001" s="43"/>
      <c r="AD1001" s="43"/>
      <c r="AE1001" s="43"/>
      <c r="AF1001" s="43"/>
      <c r="AG1001" s="43"/>
      <c r="AH1001" s="43"/>
      <c r="BB1001" s="43"/>
      <c r="BC1001" s="43"/>
      <c r="BD1001" s="43"/>
      <c r="BE1001" s="43"/>
      <c r="BF1001" s="43"/>
      <c r="BG1001" s="43"/>
      <c r="BH1001" s="43"/>
      <c r="BI1001" s="43"/>
    </row>
    <row r="1002" spans="1:61" ht="15.75" customHeight="1" x14ac:dyDescent="0.5">
      <c r="A1002" s="49"/>
      <c r="B1002" s="43"/>
      <c r="C1002" s="57"/>
      <c r="D1002" s="57"/>
      <c r="E1002" s="57"/>
      <c r="F1002" s="57"/>
      <c r="G1002" s="57"/>
      <c r="H1002" s="57"/>
      <c r="I1002" s="57"/>
      <c r="J1002" s="57"/>
      <c r="K1002" s="57"/>
      <c r="L1002" s="57"/>
      <c r="M1002" s="57"/>
      <c r="N1002" s="57"/>
      <c r="O1002" s="57"/>
      <c r="P1002" s="57"/>
      <c r="Q1002" s="43"/>
      <c r="R1002" s="43"/>
      <c r="S1002" s="43"/>
      <c r="T1002" s="43"/>
      <c r="U1002" s="43"/>
      <c r="V1002" s="43"/>
      <c r="W1002" s="43"/>
      <c r="X1002" s="43"/>
      <c r="Y1002" s="43"/>
      <c r="Z1002" s="43"/>
      <c r="AA1002" s="43"/>
      <c r="AB1002" s="43"/>
      <c r="AC1002" s="43"/>
      <c r="AD1002" s="43"/>
      <c r="AE1002" s="43"/>
      <c r="AF1002" s="43"/>
      <c r="AG1002" s="43"/>
      <c r="AH1002" s="43"/>
      <c r="BB1002" s="43"/>
      <c r="BC1002" s="43"/>
      <c r="BD1002" s="43"/>
      <c r="BE1002" s="43"/>
      <c r="BF1002" s="43"/>
      <c r="BG1002" s="43"/>
      <c r="BH1002" s="43"/>
      <c r="BI1002" s="43"/>
    </row>
    <row r="1003" spans="1:61" ht="15.75" customHeight="1" x14ac:dyDescent="0.5">
      <c r="A1003" s="49"/>
      <c r="B1003" s="43"/>
      <c r="C1003" s="57"/>
      <c r="D1003" s="57"/>
      <c r="E1003" s="57"/>
      <c r="F1003" s="57"/>
      <c r="G1003" s="57"/>
      <c r="H1003" s="57"/>
      <c r="I1003" s="57"/>
      <c r="J1003" s="57"/>
      <c r="K1003" s="57"/>
      <c r="L1003" s="57"/>
      <c r="M1003" s="57"/>
      <c r="N1003" s="57"/>
      <c r="O1003" s="57"/>
      <c r="P1003" s="57"/>
      <c r="Q1003" s="43"/>
      <c r="R1003" s="43"/>
      <c r="S1003" s="43"/>
      <c r="T1003" s="43"/>
      <c r="U1003" s="43"/>
      <c r="V1003" s="43"/>
      <c r="W1003" s="43"/>
      <c r="X1003" s="43"/>
      <c r="Y1003" s="43"/>
      <c r="Z1003" s="43"/>
      <c r="AA1003" s="43"/>
      <c r="AB1003" s="43"/>
      <c r="AC1003" s="43"/>
      <c r="AD1003" s="43"/>
      <c r="AE1003" s="43"/>
      <c r="AF1003" s="43"/>
      <c r="AG1003" s="43"/>
      <c r="AH1003" s="43"/>
      <c r="BB1003" s="43"/>
      <c r="BC1003" s="43"/>
      <c r="BD1003" s="43"/>
      <c r="BE1003" s="43"/>
      <c r="BF1003" s="43"/>
      <c r="BG1003" s="43"/>
      <c r="BH1003" s="43"/>
      <c r="BI1003" s="43"/>
    </row>
    <row r="1004" spans="1:61" ht="15.75" customHeight="1" x14ac:dyDescent="0.5">
      <c r="A1004" s="49"/>
      <c r="B1004" s="43"/>
      <c r="C1004" s="57"/>
      <c r="D1004" s="57"/>
      <c r="E1004" s="57"/>
      <c r="F1004" s="57"/>
      <c r="G1004" s="57"/>
      <c r="H1004" s="57"/>
      <c r="I1004" s="57"/>
      <c r="J1004" s="57"/>
      <c r="K1004" s="57"/>
      <c r="L1004" s="57"/>
      <c r="M1004" s="57"/>
      <c r="N1004" s="57"/>
      <c r="O1004" s="57"/>
      <c r="P1004" s="57"/>
      <c r="Q1004" s="43"/>
      <c r="R1004" s="43"/>
      <c r="S1004" s="43"/>
      <c r="T1004" s="43"/>
      <c r="U1004" s="43"/>
      <c r="V1004" s="43"/>
      <c r="W1004" s="43"/>
      <c r="X1004" s="43"/>
      <c r="Y1004" s="43"/>
      <c r="Z1004" s="43"/>
      <c r="AA1004" s="43"/>
      <c r="AB1004" s="43"/>
      <c r="AC1004" s="43"/>
      <c r="AD1004" s="43"/>
      <c r="AE1004" s="43"/>
      <c r="AF1004" s="43"/>
      <c r="AG1004" s="43"/>
      <c r="AH1004" s="43"/>
      <c r="BB1004" s="43"/>
      <c r="BC1004" s="43"/>
      <c r="BD1004" s="43"/>
      <c r="BE1004" s="43"/>
      <c r="BF1004" s="43"/>
      <c r="BG1004" s="43"/>
      <c r="BH1004" s="43"/>
      <c r="BI1004" s="43"/>
    </row>
    <row r="1005" spans="1:61" ht="15.75" customHeight="1" x14ac:dyDescent="0.5">
      <c r="A1005" s="49"/>
      <c r="B1005" s="43"/>
      <c r="C1005" s="57"/>
      <c r="D1005" s="57"/>
      <c r="E1005" s="57"/>
      <c r="F1005" s="57"/>
      <c r="G1005" s="57"/>
      <c r="H1005" s="57"/>
      <c r="I1005" s="57"/>
      <c r="J1005" s="57"/>
      <c r="K1005" s="57"/>
      <c r="L1005" s="57"/>
      <c r="M1005" s="57"/>
      <c r="N1005" s="57"/>
      <c r="O1005" s="57"/>
      <c r="P1005" s="57"/>
      <c r="Q1005" s="43"/>
      <c r="R1005" s="43"/>
      <c r="S1005" s="43"/>
      <c r="T1005" s="43"/>
      <c r="U1005" s="43"/>
      <c r="V1005" s="43"/>
      <c r="W1005" s="43"/>
      <c r="X1005" s="43"/>
      <c r="Y1005" s="43"/>
      <c r="Z1005" s="43"/>
      <c r="AA1005" s="43"/>
      <c r="AB1005" s="43"/>
      <c r="AC1005" s="43"/>
      <c r="AD1005" s="43"/>
      <c r="AE1005" s="43"/>
      <c r="AF1005" s="43"/>
      <c r="AG1005" s="43"/>
      <c r="AH1005" s="43"/>
      <c r="BB1005" s="43"/>
      <c r="BC1005" s="43"/>
      <c r="BD1005" s="43"/>
      <c r="BE1005" s="43"/>
      <c r="BF1005" s="43"/>
      <c r="BG1005" s="43"/>
      <c r="BH1005" s="43"/>
      <c r="BI1005" s="43"/>
    </row>
    <row r="1006" spans="1:61" ht="15.75" customHeight="1" x14ac:dyDescent="0.5">
      <c r="A1006" s="49"/>
      <c r="B1006" s="43"/>
      <c r="C1006" s="57"/>
      <c r="D1006" s="57"/>
      <c r="E1006" s="57"/>
      <c r="F1006" s="57"/>
      <c r="G1006" s="57"/>
      <c r="H1006" s="57"/>
      <c r="I1006" s="57"/>
      <c r="J1006" s="57"/>
      <c r="K1006" s="57"/>
      <c r="L1006" s="57"/>
      <c r="M1006" s="57"/>
      <c r="N1006" s="57"/>
      <c r="O1006" s="57"/>
      <c r="P1006" s="57"/>
      <c r="Q1006" s="43"/>
      <c r="R1006" s="43"/>
      <c r="S1006" s="43"/>
      <c r="T1006" s="43"/>
      <c r="U1006" s="43"/>
      <c r="V1006" s="43"/>
      <c r="W1006" s="43"/>
      <c r="X1006" s="43"/>
      <c r="Y1006" s="43"/>
      <c r="Z1006" s="43"/>
      <c r="AA1006" s="43"/>
      <c r="AB1006" s="43"/>
      <c r="AC1006" s="43"/>
      <c r="AD1006" s="43"/>
      <c r="AE1006" s="43"/>
      <c r="AF1006" s="43"/>
      <c r="AG1006" s="43"/>
      <c r="AH1006" s="43"/>
      <c r="BB1006" s="43"/>
      <c r="BC1006" s="43"/>
      <c r="BD1006" s="43"/>
      <c r="BE1006" s="43"/>
      <c r="BF1006" s="43"/>
      <c r="BG1006" s="43"/>
      <c r="BH1006" s="43"/>
      <c r="BI1006" s="43"/>
    </row>
    <row r="1007" spans="1:61" ht="15.75" customHeight="1" x14ac:dyDescent="0.5">
      <c r="A1007" s="49"/>
      <c r="B1007" s="43"/>
      <c r="C1007" s="57"/>
      <c r="D1007" s="57"/>
      <c r="E1007" s="57"/>
      <c r="F1007" s="57"/>
      <c r="G1007" s="57"/>
      <c r="H1007" s="57"/>
      <c r="I1007" s="57"/>
      <c r="J1007" s="57"/>
      <c r="K1007" s="57"/>
      <c r="L1007" s="57"/>
      <c r="M1007" s="57"/>
      <c r="N1007" s="57"/>
      <c r="O1007" s="57"/>
      <c r="P1007" s="57"/>
      <c r="Q1007" s="43"/>
      <c r="R1007" s="43"/>
      <c r="S1007" s="43"/>
      <c r="T1007" s="43"/>
      <c r="U1007" s="43"/>
      <c r="V1007" s="43"/>
      <c r="W1007" s="43"/>
      <c r="X1007" s="43"/>
      <c r="Y1007" s="43"/>
      <c r="Z1007" s="43"/>
      <c r="AA1007" s="43"/>
      <c r="AB1007" s="43"/>
      <c r="AC1007" s="43"/>
      <c r="AD1007" s="43"/>
      <c r="AE1007" s="43"/>
      <c r="AF1007" s="43"/>
      <c r="AG1007" s="43"/>
      <c r="AH1007" s="43"/>
      <c r="BB1007" s="43"/>
      <c r="BC1007" s="43"/>
      <c r="BD1007" s="43"/>
      <c r="BE1007" s="43"/>
      <c r="BF1007" s="43"/>
      <c r="BG1007" s="43"/>
      <c r="BH1007" s="43"/>
      <c r="BI1007" s="43"/>
    </row>
    <row r="1008" spans="1:61" ht="15.75" customHeight="1" x14ac:dyDescent="0.5">
      <c r="A1008" s="49"/>
      <c r="B1008" s="43"/>
      <c r="C1008" s="57"/>
      <c r="D1008" s="57"/>
      <c r="E1008" s="57"/>
      <c r="F1008" s="57"/>
      <c r="G1008" s="57"/>
      <c r="H1008" s="57"/>
      <c r="I1008" s="57"/>
      <c r="J1008" s="57"/>
      <c r="K1008" s="57"/>
      <c r="L1008" s="57"/>
      <c r="M1008" s="57"/>
      <c r="N1008" s="57"/>
      <c r="O1008" s="57"/>
      <c r="P1008" s="57"/>
      <c r="Q1008" s="43"/>
      <c r="R1008" s="43"/>
      <c r="S1008" s="43"/>
      <c r="T1008" s="43"/>
      <c r="U1008" s="43"/>
      <c r="V1008" s="43"/>
      <c r="W1008" s="43"/>
      <c r="X1008" s="43"/>
      <c r="Y1008" s="43"/>
      <c r="Z1008" s="43"/>
      <c r="AA1008" s="43"/>
      <c r="AB1008" s="43"/>
      <c r="AC1008" s="43"/>
      <c r="AD1008" s="43"/>
      <c r="AE1008" s="43"/>
      <c r="AF1008" s="43"/>
      <c r="AG1008" s="43"/>
      <c r="AH1008" s="43"/>
      <c r="BB1008" s="43"/>
      <c r="BC1008" s="43"/>
      <c r="BD1008" s="43"/>
      <c r="BE1008" s="43"/>
      <c r="BF1008" s="43"/>
      <c r="BG1008" s="43"/>
      <c r="BH1008" s="43"/>
      <c r="BI1008" s="43"/>
    </row>
    <row r="1009" spans="1:61" ht="15.75" customHeight="1" x14ac:dyDescent="0.5">
      <c r="A1009" s="49"/>
      <c r="B1009" s="43"/>
      <c r="C1009" s="57"/>
      <c r="D1009" s="57"/>
      <c r="E1009" s="57"/>
      <c r="F1009" s="57"/>
      <c r="G1009" s="57"/>
      <c r="H1009" s="57"/>
      <c r="I1009" s="57"/>
      <c r="J1009" s="57"/>
      <c r="K1009" s="57"/>
      <c r="L1009" s="57"/>
      <c r="M1009" s="57"/>
      <c r="N1009" s="57"/>
      <c r="O1009" s="57"/>
      <c r="P1009" s="57"/>
      <c r="Q1009" s="43"/>
      <c r="R1009" s="43"/>
      <c r="S1009" s="43"/>
      <c r="T1009" s="43"/>
      <c r="U1009" s="43"/>
      <c r="V1009" s="43"/>
      <c r="W1009" s="43"/>
      <c r="X1009" s="43"/>
      <c r="Y1009" s="43"/>
      <c r="Z1009" s="43"/>
      <c r="AA1009" s="43"/>
      <c r="AB1009" s="43"/>
      <c r="AC1009" s="43"/>
      <c r="AD1009" s="43"/>
      <c r="AE1009" s="43"/>
      <c r="AF1009" s="43"/>
      <c r="AG1009" s="43"/>
      <c r="AH1009" s="43"/>
      <c r="BB1009" s="43"/>
      <c r="BC1009" s="43"/>
      <c r="BD1009" s="43"/>
      <c r="BE1009" s="43"/>
      <c r="BF1009" s="43"/>
      <c r="BG1009" s="43"/>
      <c r="BH1009" s="43"/>
      <c r="BI1009" s="43"/>
    </row>
    <row r="1010" spans="1:61" ht="15.75" customHeight="1" x14ac:dyDescent="0.5">
      <c r="A1010" s="49"/>
      <c r="B1010" s="43"/>
      <c r="C1010" s="57"/>
      <c r="D1010" s="57"/>
      <c r="E1010" s="57"/>
      <c r="F1010" s="57"/>
      <c r="G1010" s="57"/>
      <c r="H1010" s="57"/>
      <c r="I1010" s="57"/>
      <c r="J1010" s="57"/>
      <c r="K1010" s="57"/>
      <c r="L1010" s="57"/>
      <c r="M1010" s="57"/>
      <c r="N1010" s="57"/>
      <c r="O1010" s="57"/>
      <c r="P1010" s="57"/>
      <c r="Q1010" s="43"/>
      <c r="R1010" s="43"/>
      <c r="S1010" s="43"/>
      <c r="T1010" s="43"/>
      <c r="U1010" s="43"/>
      <c r="V1010" s="43"/>
      <c r="W1010" s="43"/>
      <c r="X1010" s="43"/>
      <c r="Y1010" s="43"/>
      <c r="Z1010" s="43"/>
      <c r="AA1010" s="43"/>
      <c r="AB1010" s="43"/>
      <c r="AC1010" s="43"/>
      <c r="AD1010" s="43"/>
      <c r="AE1010" s="43"/>
      <c r="AF1010" s="43"/>
      <c r="AG1010" s="43"/>
      <c r="AH1010" s="43"/>
      <c r="BB1010" s="43"/>
      <c r="BC1010" s="43"/>
      <c r="BD1010" s="43"/>
      <c r="BE1010" s="43"/>
      <c r="BF1010" s="43"/>
      <c r="BG1010" s="43"/>
      <c r="BH1010" s="43"/>
      <c r="BI1010" s="43"/>
    </row>
    <row r="1011" spans="1:61" ht="15.75" customHeight="1" x14ac:dyDescent="0.5">
      <c r="A1011" s="49"/>
      <c r="B1011" s="43"/>
      <c r="C1011" s="57"/>
      <c r="D1011" s="57"/>
      <c r="E1011" s="57"/>
      <c r="F1011" s="57"/>
      <c r="G1011" s="57"/>
      <c r="H1011" s="57"/>
      <c r="I1011" s="57"/>
      <c r="J1011" s="57"/>
      <c r="K1011" s="57"/>
      <c r="L1011" s="57"/>
      <c r="M1011" s="57"/>
      <c r="N1011" s="57"/>
      <c r="O1011" s="57"/>
      <c r="P1011" s="57"/>
      <c r="Q1011" s="43"/>
      <c r="R1011" s="43"/>
      <c r="S1011" s="43"/>
      <c r="T1011" s="43"/>
      <c r="U1011" s="43"/>
      <c r="V1011" s="43"/>
      <c r="W1011" s="43"/>
      <c r="X1011" s="43"/>
      <c r="Y1011" s="43"/>
      <c r="Z1011" s="43"/>
      <c r="AA1011" s="43"/>
      <c r="AB1011" s="43"/>
      <c r="AC1011" s="43"/>
      <c r="AD1011" s="43"/>
      <c r="AE1011" s="43"/>
      <c r="AF1011" s="43"/>
      <c r="AG1011" s="43"/>
      <c r="AH1011" s="43"/>
      <c r="BB1011" s="43"/>
      <c r="BC1011" s="43"/>
      <c r="BD1011" s="43"/>
      <c r="BE1011" s="43"/>
      <c r="BF1011" s="43"/>
      <c r="BG1011" s="43"/>
      <c r="BH1011" s="43"/>
      <c r="BI1011" s="43"/>
    </row>
    <row r="1012" spans="1:61" ht="15.75" customHeight="1" x14ac:dyDescent="0.5">
      <c r="A1012" s="49"/>
      <c r="B1012" s="43"/>
      <c r="C1012" s="57"/>
      <c r="D1012" s="57"/>
      <c r="E1012" s="57"/>
      <c r="F1012" s="57"/>
      <c r="G1012" s="57"/>
      <c r="H1012" s="57"/>
      <c r="I1012" s="57"/>
      <c r="J1012" s="57"/>
      <c r="K1012" s="57"/>
      <c r="L1012" s="57"/>
      <c r="M1012" s="57"/>
      <c r="N1012" s="57"/>
      <c r="O1012" s="57"/>
      <c r="P1012" s="57"/>
      <c r="Q1012" s="43"/>
      <c r="R1012" s="43"/>
      <c r="S1012" s="43"/>
      <c r="T1012" s="43"/>
      <c r="U1012" s="43"/>
      <c r="V1012" s="43"/>
      <c r="W1012" s="43"/>
      <c r="X1012" s="43"/>
      <c r="Y1012" s="43"/>
      <c r="Z1012" s="43"/>
      <c r="AA1012" s="43"/>
      <c r="AB1012" s="43"/>
      <c r="AC1012" s="43"/>
      <c r="AD1012" s="43"/>
      <c r="AE1012" s="43"/>
      <c r="AF1012" s="43"/>
      <c r="AG1012" s="43"/>
      <c r="AH1012" s="43"/>
      <c r="BB1012" s="43"/>
      <c r="BC1012" s="43"/>
      <c r="BD1012" s="43"/>
      <c r="BE1012" s="43"/>
      <c r="BF1012" s="43"/>
      <c r="BG1012" s="43"/>
      <c r="BH1012" s="43"/>
      <c r="BI1012" s="43"/>
    </row>
    <row r="1013" spans="1:61" ht="15.75" customHeight="1" x14ac:dyDescent="0.5">
      <c r="A1013" s="49"/>
      <c r="B1013" s="43"/>
      <c r="C1013" s="57"/>
      <c r="D1013" s="57"/>
      <c r="E1013" s="57"/>
      <c r="F1013" s="57"/>
      <c r="G1013" s="57"/>
      <c r="H1013" s="57"/>
      <c r="I1013" s="57"/>
      <c r="J1013" s="57"/>
      <c r="K1013" s="57"/>
      <c r="L1013" s="57"/>
      <c r="M1013" s="57"/>
      <c r="N1013" s="57"/>
      <c r="O1013" s="57"/>
      <c r="P1013" s="57"/>
      <c r="Q1013" s="43"/>
      <c r="R1013" s="43"/>
      <c r="S1013" s="43"/>
      <c r="T1013" s="43"/>
      <c r="U1013" s="43"/>
      <c r="V1013" s="43"/>
      <c r="W1013" s="43"/>
      <c r="X1013" s="43"/>
      <c r="Y1013" s="43"/>
      <c r="Z1013" s="43"/>
      <c r="AA1013" s="43"/>
      <c r="AB1013" s="43"/>
      <c r="AC1013" s="43"/>
      <c r="AD1013" s="43"/>
      <c r="AE1013" s="43"/>
      <c r="AF1013" s="43"/>
      <c r="AG1013" s="43"/>
      <c r="AH1013" s="43"/>
      <c r="BB1013" s="43"/>
      <c r="BC1013" s="43"/>
      <c r="BD1013" s="43"/>
      <c r="BE1013" s="43"/>
      <c r="BF1013" s="43"/>
      <c r="BG1013" s="43"/>
      <c r="BH1013" s="43"/>
      <c r="BI1013" s="43"/>
    </row>
    <row r="1014" spans="1:61" ht="15.75" customHeight="1" x14ac:dyDescent="0.5">
      <c r="A1014" s="49"/>
      <c r="B1014" s="43"/>
      <c r="C1014" s="57"/>
      <c r="D1014" s="57"/>
      <c r="E1014" s="57"/>
      <c r="F1014" s="57"/>
      <c r="G1014" s="57"/>
      <c r="H1014" s="57"/>
      <c r="I1014" s="57"/>
      <c r="J1014" s="57"/>
      <c r="K1014" s="57"/>
      <c r="L1014" s="57"/>
      <c r="M1014" s="57"/>
      <c r="N1014" s="57"/>
      <c r="O1014" s="57"/>
      <c r="P1014" s="57"/>
      <c r="Q1014" s="43"/>
      <c r="R1014" s="43"/>
      <c r="S1014" s="43"/>
      <c r="T1014" s="43"/>
      <c r="U1014" s="43"/>
      <c r="V1014" s="43"/>
      <c r="W1014" s="43"/>
      <c r="X1014" s="43"/>
      <c r="Y1014" s="43"/>
      <c r="Z1014" s="43"/>
      <c r="AA1014" s="43"/>
      <c r="AB1014" s="43"/>
      <c r="AC1014" s="43"/>
      <c r="AD1014" s="43"/>
      <c r="AE1014" s="43"/>
      <c r="AF1014" s="43"/>
      <c r="AG1014" s="43"/>
      <c r="AH1014" s="43"/>
      <c r="BB1014" s="43"/>
      <c r="BC1014" s="43"/>
      <c r="BD1014" s="43"/>
      <c r="BE1014" s="43"/>
      <c r="BF1014" s="43"/>
      <c r="BG1014" s="43"/>
      <c r="BH1014" s="43"/>
      <c r="BI1014" s="43"/>
    </row>
    <row r="1015" spans="1:61" ht="15.75" customHeight="1" x14ac:dyDescent="0.5">
      <c r="A1015" s="49"/>
      <c r="B1015" s="43"/>
      <c r="C1015" s="57"/>
      <c r="D1015" s="57"/>
      <c r="E1015" s="57"/>
      <c r="F1015" s="57"/>
      <c r="G1015" s="57"/>
      <c r="H1015" s="57"/>
      <c r="I1015" s="57"/>
      <c r="J1015" s="57"/>
      <c r="K1015" s="57"/>
      <c r="L1015" s="57"/>
      <c r="M1015" s="57"/>
      <c r="N1015" s="57"/>
      <c r="O1015" s="57"/>
      <c r="P1015" s="57"/>
      <c r="Q1015" s="43"/>
      <c r="R1015" s="43"/>
      <c r="S1015" s="43"/>
      <c r="T1015" s="43"/>
      <c r="U1015" s="43"/>
      <c r="V1015" s="43"/>
      <c r="W1015" s="43"/>
      <c r="X1015" s="43"/>
      <c r="Y1015" s="43"/>
      <c r="Z1015" s="43"/>
      <c r="AA1015" s="43"/>
      <c r="AB1015" s="43"/>
      <c r="AC1015" s="43"/>
      <c r="AD1015" s="43"/>
      <c r="AE1015" s="43"/>
      <c r="AF1015" s="43"/>
      <c r="AG1015" s="43"/>
      <c r="AH1015" s="43"/>
      <c r="BB1015" s="43"/>
      <c r="BC1015" s="43"/>
      <c r="BD1015" s="43"/>
      <c r="BE1015" s="43"/>
      <c r="BF1015" s="43"/>
      <c r="BG1015" s="43"/>
      <c r="BH1015" s="43"/>
      <c r="BI1015" s="43"/>
    </row>
    <row r="1016" spans="1:61" ht="15.75" customHeight="1" x14ac:dyDescent="0.5">
      <c r="A1016" s="49"/>
      <c r="B1016" s="43"/>
      <c r="C1016" s="57"/>
      <c r="D1016" s="57"/>
      <c r="E1016" s="57"/>
      <c r="F1016" s="57"/>
      <c r="G1016" s="57"/>
      <c r="H1016" s="57"/>
      <c r="I1016" s="57"/>
      <c r="J1016" s="57"/>
      <c r="K1016" s="57"/>
      <c r="L1016" s="57"/>
      <c r="M1016" s="57"/>
      <c r="N1016" s="57"/>
      <c r="O1016" s="57"/>
      <c r="P1016" s="57"/>
      <c r="Q1016" s="43"/>
      <c r="R1016" s="43"/>
      <c r="S1016" s="43"/>
      <c r="T1016" s="43"/>
      <c r="U1016" s="43"/>
      <c r="V1016" s="43"/>
      <c r="W1016" s="43"/>
      <c r="X1016" s="43"/>
      <c r="Y1016" s="43"/>
      <c r="Z1016" s="43"/>
      <c r="AA1016" s="43"/>
      <c r="AB1016" s="43"/>
      <c r="AC1016" s="43"/>
      <c r="AD1016" s="43"/>
      <c r="AE1016" s="43"/>
      <c r="AF1016" s="43"/>
      <c r="AG1016" s="43"/>
      <c r="AH1016" s="43"/>
      <c r="BB1016" s="43"/>
      <c r="BC1016" s="43"/>
      <c r="BD1016" s="43"/>
      <c r="BE1016" s="43"/>
      <c r="BF1016" s="43"/>
      <c r="BG1016" s="43"/>
      <c r="BH1016" s="43"/>
      <c r="BI1016" s="43"/>
    </row>
    <row r="1017" spans="1:61" ht="15.75" customHeight="1" x14ac:dyDescent="0.5">
      <c r="A1017" s="49"/>
      <c r="B1017" s="43"/>
      <c r="C1017" s="57"/>
      <c r="D1017" s="57"/>
      <c r="E1017" s="57"/>
      <c r="F1017" s="57"/>
      <c r="G1017" s="57"/>
      <c r="H1017" s="57"/>
      <c r="I1017" s="57"/>
      <c r="J1017" s="57"/>
      <c r="K1017" s="57"/>
      <c r="L1017" s="57"/>
      <c r="M1017" s="57"/>
      <c r="N1017" s="57"/>
      <c r="O1017" s="57"/>
      <c r="P1017" s="57"/>
      <c r="Q1017" s="43"/>
      <c r="R1017" s="43"/>
      <c r="S1017" s="43"/>
      <c r="T1017" s="43"/>
      <c r="U1017" s="43"/>
      <c r="V1017" s="43"/>
      <c r="W1017" s="43"/>
      <c r="X1017" s="43"/>
      <c r="Y1017" s="43"/>
      <c r="Z1017" s="43"/>
      <c r="AA1017" s="43"/>
      <c r="AB1017" s="43"/>
      <c r="AC1017" s="43"/>
      <c r="AD1017" s="43"/>
      <c r="AE1017" s="43"/>
      <c r="AF1017" s="43"/>
      <c r="AG1017" s="43"/>
      <c r="AH1017" s="43"/>
      <c r="BB1017" s="43"/>
      <c r="BC1017" s="43"/>
      <c r="BD1017" s="43"/>
      <c r="BE1017" s="43"/>
      <c r="BF1017" s="43"/>
      <c r="BG1017" s="43"/>
      <c r="BH1017" s="43"/>
      <c r="BI1017" s="43"/>
    </row>
    <row r="1018" spans="1:61" ht="15.75" customHeight="1" x14ac:dyDescent="0.5">
      <c r="A1018" s="49"/>
      <c r="B1018" s="43"/>
      <c r="C1018" s="57"/>
      <c r="D1018" s="57"/>
      <c r="E1018" s="57"/>
      <c r="F1018" s="57"/>
      <c r="G1018" s="57"/>
      <c r="H1018" s="57"/>
      <c r="I1018" s="57"/>
      <c r="J1018" s="57"/>
      <c r="K1018" s="57"/>
      <c r="L1018" s="57"/>
      <c r="M1018" s="57"/>
      <c r="N1018" s="57"/>
      <c r="O1018" s="57"/>
      <c r="P1018" s="57"/>
      <c r="Q1018" s="43"/>
      <c r="R1018" s="43"/>
      <c r="S1018" s="43"/>
      <c r="T1018" s="43"/>
      <c r="U1018" s="43"/>
      <c r="V1018" s="43"/>
      <c r="W1018" s="43"/>
      <c r="X1018" s="43"/>
      <c r="Y1018" s="43"/>
      <c r="Z1018" s="43"/>
      <c r="AA1018" s="43"/>
      <c r="AB1018" s="43"/>
      <c r="AC1018" s="43"/>
      <c r="AD1018" s="43"/>
      <c r="AE1018" s="43"/>
      <c r="AF1018" s="43"/>
      <c r="AG1018" s="43"/>
      <c r="AH1018" s="43"/>
      <c r="BB1018" s="43"/>
      <c r="BC1018" s="43"/>
      <c r="BD1018" s="43"/>
      <c r="BE1018" s="43"/>
      <c r="BF1018" s="43"/>
      <c r="BG1018" s="43"/>
      <c r="BH1018" s="43"/>
      <c r="BI1018" s="43"/>
    </row>
    <row r="1019" spans="1:61" ht="15.75" customHeight="1" x14ac:dyDescent="0.5">
      <c r="A1019" s="49"/>
      <c r="B1019" s="43"/>
      <c r="C1019" s="57"/>
      <c r="D1019" s="57"/>
      <c r="E1019" s="57"/>
      <c r="F1019" s="57"/>
      <c r="G1019" s="57"/>
      <c r="H1019" s="57"/>
      <c r="I1019" s="57"/>
      <c r="J1019" s="57"/>
      <c r="K1019" s="57"/>
      <c r="L1019" s="57"/>
      <c r="M1019" s="57"/>
      <c r="N1019" s="57"/>
      <c r="O1019" s="57"/>
      <c r="P1019" s="57"/>
      <c r="Q1019" s="43"/>
      <c r="R1019" s="43"/>
      <c r="S1019" s="43"/>
      <c r="T1019" s="43"/>
      <c r="U1019" s="43"/>
      <c r="V1019" s="43"/>
      <c r="W1019" s="43"/>
      <c r="X1019" s="43"/>
      <c r="Y1019" s="43"/>
      <c r="Z1019" s="43"/>
      <c r="AA1019" s="43"/>
      <c r="AB1019" s="43"/>
      <c r="AC1019" s="43"/>
      <c r="AD1019" s="43"/>
      <c r="AE1019" s="43"/>
      <c r="AF1019" s="43"/>
      <c r="AG1019" s="43"/>
      <c r="AH1019" s="43"/>
      <c r="BB1019" s="43"/>
      <c r="BC1019" s="43"/>
      <c r="BD1019" s="43"/>
      <c r="BE1019" s="43"/>
      <c r="BF1019" s="43"/>
      <c r="BG1019" s="43"/>
      <c r="BH1019" s="43"/>
      <c r="BI1019" s="43"/>
    </row>
    <row r="1020" spans="1:61" ht="15.75" customHeight="1" x14ac:dyDescent="0.5">
      <c r="A1020" s="49"/>
      <c r="B1020" s="43"/>
      <c r="C1020" s="57"/>
      <c r="D1020" s="57"/>
      <c r="E1020" s="57"/>
      <c r="F1020" s="57"/>
      <c r="G1020" s="57"/>
      <c r="H1020" s="57"/>
      <c r="I1020" s="57"/>
      <c r="J1020" s="57"/>
      <c r="K1020" s="57"/>
      <c r="L1020" s="57"/>
      <c r="M1020" s="57"/>
      <c r="N1020" s="57"/>
      <c r="O1020" s="57"/>
      <c r="P1020" s="57"/>
      <c r="Q1020" s="43"/>
      <c r="R1020" s="43"/>
      <c r="S1020" s="43"/>
      <c r="T1020" s="43"/>
      <c r="U1020" s="43"/>
      <c r="V1020" s="43"/>
      <c r="W1020" s="43"/>
      <c r="X1020" s="43"/>
      <c r="Y1020" s="43"/>
      <c r="Z1020" s="43"/>
      <c r="AA1020" s="43"/>
      <c r="AB1020" s="43"/>
      <c r="AC1020" s="43"/>
      <c r="AD1020" s="43"/>
      <c r="AE1020" s="43"/>
      <c r="AF1020" s="43"/>
      <c r="AG1020" s="43"/>
      <c r="AH1020" s="43"/>
      <c r="BB1020" s="43"/>
      <c r="BC1020" s="43"/>
      <c r="BD1020" s="43"/>
      <c r="BE1020" s="43"/>
      <c r="BF1020" s="43"/>
      <c r="BG1020" s="43"/>
      <c r="BH1020" s="43"/>
      <c r="BI1020" s="43"/>
    </row>
    <row r="1021" spans="1:61" ht="15.75" customHeight="1" x14ac:dyDescent="0.5">
      <c r="A1021" s="49"/>
      <c r="B1021" s="43"/>
      <c r="C1021" s="57"/>
      <c r="D1021" s="57"/>
      <c r="E1021" s="57"/>
      <c r="F1021" s="57"/>
      <c r="G1021" s="57"/>
      <c r="H1021" s="57"/>
      <c r="I1021" s="57"/>
      <c r="J1021" s="57"/>
      <c r="K1021" s="57"/>
      <c r="L1021" s="57"/>
      <c r="M1021" s="57"/>
      <c r="N1021" s="57"/>
      <c r="O1021" s="57"/>
      <c r="P1021" s="57"/>
      <c r="Q1021" s="43"/>
      <c r="R1021" s="43"/>
      <c r="S1021" s="43"/>
      <c r="T1021" s="43"/>
      <c r="U1021" s="43"/>
      <c r="V1021" s="43"/>
      <c r="W1021" s="43"/>
      <c r="X1021" s="43"/>
      <c r="Y1021" s="43"/>
      <c r="Z1021" s="43"/>
      <c r="AA1021" s="43"/>
      <c r="AB1021" s="43"/>
      <c r="AC1021" s="43"/>
      <c r="AD1021" s="43"/>
      <c r="AE1021" s="43"/>
      <c r="AF1021" s="43"/>
      <c r="AG1021" s="43"/>
      <c r="AH1021" s="43"/>
      <c r="BB1021" s="43"/>
      <c r="BC1021" s="43"/>
      <c r="BD1021" s="43"/>
      <c r="BE1021" s="43"/>
      <c r="BF1021" s="43"/>
      <c r="BG1021" s="43"/>
      <c r="BH1021" s="43"/>
      <c r="BI1021" s="43"/>
    </row>
    <row r="1022" spans="1:61" ht="15.75" customHeight="1" x14ac:dyDescent="0.5">
      <c r="A1022" s="49"/>
      <c r="B1022" s="43"/>
      <c r="C1022" s="57"/>
      <c r="D1022" s="57"/>
      <c r="E1022" s="57"/>
      <c r="F1022" s="57"/>
      <c r="G1022" s="57"/>
      <c r="H1022" s="57"/>
      <c r="I1022" s="57"/>
      <c r="J1022" s="57"/>
      <c r="K1022" s="57"/>
      <c r="L1022" s="57"/>
      <c r="M1022" s="57"/>
      <c r="N1022" s="57"/>
      <c r="O1022" s="57"/>
      <c r="P1022" s="57"/>
      <c r="Q1022" s="43"/>
      <c r="R1022" s="43"/>
      <c r="S1022" s="43"/>
      <c r="T1022" s="43"/>
      <c r="U1022" s="43"/>
      <c r="V1022" s="43"/>
      <c r="W1022" s="43"/>
      <c r="X1022" s="43"/>
      <c r="Y1022" s="43"/>
      <c r="Z1022" s="43"/>
      <c r="AA1022" s="43"/>
      <c r="AB1022" s="43"/>
      <c r="AC1022" s="43"/>
      <c r="AD1022" s="43"/>
      <c r="AE1022" s="43"/>
      <c r="AF1022" s="43"/>
      <c r="AG1022" s="43"/>
      <c r="AH1022" s="43"/>
      <c r="BB1022" s="43"/>
      <c r="BC1022" s="43"/>
      <c r="BD1022" s="43"/>
      <c r="BE1022" s="43"/>
      <c r="BF1022" s="43"/>
      <c r="BG1022" s="43"/>
      <c r="BH1022" s="43"/>
      <c r="BI1022" s="43"/>
    </row>
    <row r="1023" spans="1:61" ht="15.75" customHeight="1" x14ac:dyDescent="0.5">
      <c r="A1023" s="49"/>
      <c r="B1023" s="43"/>
      <c r="C1023" s="57"/>
      <c r="D1023" s="57"/>
      <c r="E1023" s="57"/>
      <c r="F1023" s="57"/>
      <c r="G1023" s="57"/>
      <c r="H1023" s="57"/>
      <c r="I1023" s="57"/>
      <c r="J1023" s="57"/>
      <c r="K1023" s="57"/>
      <c r="L1023" s="57"/>
      <c r="M1023" s="57"/>
      <c r="N1023" s="57"/>
      <c r="O1023" s="57"/>
      <c r="P1023" s="57"/>
      <c r="Q1023" s="43"/>
      <c r="R1023" s="43"/>
      <c r="S1023" s="43"/>
      <c r="T1023" s="43"/>
      <c r="U1023" s="43"/>
      <c r="V1023" s="43"/>
      <c r="W1023" s="43"/>
      <c r="X1023" s="43"/>
      <c r="Y1023" s="43"/>
      <c r="Z1023" s="43"/>
      <c r="AA1023" s="43"/>
      <c r="AB1023" s="43"/>
      <c r="AC1023" s="43"/>
      <c r="AD1023" s="43"/>
      <c r="AE1023" s="43"/>
      <c r="AF1023" s="43"/>
      <c r="AG1023" s="43"/>
      <c r="AH1023" s="43"/>
      <c r="BB1023" s="43"/>
      <c r="BC1023" s="43"/>
      <c r="BD1023" s="43"/>
      <c r="BE1023" s="43"/>
      <c r="BF1023" s="43"/>
      <c r="BG1023" s="43"/>
      <c r="BH1023" s="43"/>
      <c r="BI1023" s="43"/>
    </row>
    <row r="1024" spans="1:61" ht="15.75" customHeight="1" x14ac:dyDescent="0.5">
      <c r="A1024" s="49"/>
      <c r="B1024" s="43"/>
      <c r="C1024" s="57"/>
      <c r="D1024" s="57"/>
      <c r="E1024" s="57"/>
      <c r="F1024" s="57"/>
      <c r="G1024" s="57"/>
      <c r="H1024" s="57"/>
      <c r="I1024" s="57"/>
      <c r="J1024" s="57"/>
      <c r="K1024" s="57"/>
      <c r="L1024" s="57"/>
      <c r="M1024" s="57"/>
      <c r="N1024" s="57"/>
      <c r="O1024" s="57"/>
      <c r="P1024" s="57"/>
      <c r="Q1024" s="43"/>
      <c r="R1024" s="43"/>
      <c r="S1024" s="43"/>
      <c r="T1024" s="43"/>
      <c r="U1024" s="43"/>
      <c r="V1024" s="43"/>
      <c r="W1024" s="43"/>
      <c r="X1024" s="43"/>
      <c r="Y1024" s="43"/>
      <c r="Z1024" s="43"/>
      <c r="AA1024" s="43"/>
      <c r="AB1024" s="43"/>
      <c r="AC1024" s="43"/>
      <c r="AD1024" s="43"/>
      <c r="AE1024" s="43"/>
      <c r="AF1024" s="43"/>
      <c r="AG1024" s="43"/>
      <c r="AH1024" s="43"/>
      <c r="BB1024" s="43"/>
      <c r="BC1024" s="43"/>
      <c r="BD1024" s="43"/>
      <c r="BE1024" s="43"/>
      <c r="BF1024" s="43"/>
      <c r="BG1024" s="43"/>
      <c r="BH1024" s="43"/>
      <c r="BI1024" s="43"/>
    </row>
    <row r="1025" spans="1:61" ht="15.75" customHeight="1" x14ac:dyDescent="0.5">
      <c r="A1025" s="49"/>
      <c r="B1025" s="43"/>
      <c r="C1025" s="57"/>
      <c r="D1025" s="57"/>
      <c r="E1025" s="57"/>
      <c r="F1025" s="57"/>
      <c r="G1025" s="57"/>
      <c r="H1025" s="57"/>
      <c r="I1025" s="57"/>
      <c r="J1025" s="57"/>
      <c r="K1025" s="57"/>
      <c r="L1025" s="57"/>
      <c r="M1025" s="57"/>
      <c r="N1025" s="57"/>
      <c r="O1025" s="57"/>
      <c r="P1025" s="57"/>
      <c r="Q1025" s="43"/>
      <c r="R1025" s="43"/>
      <c r="S1025" s="43"/>
      <c r="T1025" s="43"/>
      <c r="U1025" s="43"/>
      <c r="V1025" s="43"/>
      <c r="W1025" s="43"/>
      <c r="X1025" s="43"/>
      <c r="Y1025" s="43"/>
      <c r="Z1025" s="43"/>
      <c r="AA1025" s="43"/>
      <c r="AB1025" s="43"/>
      <c r="AC1025" s="43"/>
      <c r="AD1025" s="43"/>
      <c r="AE1025" s="43"/>
      <c r="AF1025" s="43"/>
      <c r="AG1025" s="43"/>
      <c r="AH1025" s="43"/>
      <c r="BB1025" s="43"/>
      <c r="BC1025" s="43"/>
      <c r="BD1025" s="43"/>
      <c r="BE1025" s="43"/>
      <c r="BF1025" s="43"/>
      <c r="BG1025" s="43"/>
      <c r="BH1025" s="43"/>
      <c r="BI1025" s="43"/>
    </row>
    <row r="1026" spans="1:61" ht="15.75" customHeight="1" x14ac:dyDescent="0.5">
      <c r="A1026" s="49"/>
      <c r="B1026" s="43"/>
      <c r="C1026" s="57"/>
      <c r="D1026" s="57"/>
      <c r="E1026" s="57"/>
      <c r="F1026" s="57"/>
      <c r="G1026" s="57"/>
      <c r="H1026" s="57"/>
      <c r="I1026" s="57"/>
      <c r="J1026" s="57"/>
      <c r="K1026" s="57"/>
      <c r="L1026" s="57"/>
      <c r="M1026" s="57"/>
      <c r="N1026" s="57"/>
      <c r="O1026" s="57"/>
      <c r="P1026" s="57"/>
      <c r="Q1026" s="43"/>
      <c r="R1026" s="43"/>
      <c r="S1026" s="43"/>
      <c r="T1026" s="43"/>
      <c r="U1026" s="43"/>
      <c r="V1026" s="43"/>
      <c r="W1026" s="43"/>
      <c r="X1026" s="43"/>
      <c r="Y1026" s="43"/>
      <c r="Z1026" s="43"/>
      <c r="AA1026" s="43"/>
      <c r="AB1026" s="43"/>
      <c r="AC1026" s="43"/>
      <c r="AD1026" s="43"/>
      <c r="AE1026" s="43"/>
      <c r="AF1026" s="43"/>
      <c r="AG1026" s="43"/>
      <c r="AH1026" s="43"/>
      <c r="BB1026" s="43"/>
      <c r="BC1026" s="43"/>
      <c r="BD1026" s="43"/>
      <c r="BE1026" s="43"/>
      <c r="BF1026" s="43"/>
      <c r="BG1026" s="43"/>
      <c r="BH1026" s="43"/>
      <c r="BI1026" s="43"/>
    </row>
    <row r="1027" spans="1:61" ht="15.75" customHeight="1" x14ac:dyDescent="0.5">
      <c r="A1027" s="49"/>
      <c r="B1027" s="43"/>
      <c r="C1027" s="57"/>
      <c r="D1027" s="57"/>
      <c r="E1027" s="57"/>
      <c r="F1027" s="57"/>
      <c r="G1027" s="57"/>
      <c r="H1027" s="57"/>
      <c r="I1027" s="57"/>
      <c r="J1027" s="57"/>
      <c r="K1027" s="57"/>
      <c r="L1027" s="57"/>
      <c r="M1027" s="57"/>
      <c r="N1027" s="57"/>
      <c r="O1027" s="57"/>
      <c r="P1027" s="57"/>
      <c r="Q1027" s="43"/>
      <c r="R1027" s="43"/>
      <c r="S1027" s="43"/>
      <c r="T1027" s="43"/>
      <c r="U1027" s="43"/>
      <c r="V1027" s="43"/>
      <c r="W1027" s="43"/>
      <c r="X1027" s="43"/>
      <c r="Y1027" s="43"/>
      <c r="Z1027" s="43"/>
      <c r="AA1027" s="43"/>
      <c r="AB1027" s="43"/>
      <c r="AC1027" s="43"/>
      <c r="AD1027" s="43"/>
      <c r="AE1027" s="43"/>
      <c r="AF1027" s="43"/>
      <c r="AG1027" s="43"/>
      <c r="AH1027" s="43"/>
      <c r="BB1027" s="43"/>
      <c r="BC1027" s="43"/>
      <c r="BD1027" s="43"/>
      <c r="BE1027" s="43"/>
      <c r="BF1027" s="43"/>
      <c r="BG1027" s="43"/>
      <c r="BH1027" s="43"/>
      <c r="BI1027" s="43"/>
    </row>
    <row r="1028" spans="1:61" ht="15.75" customHeight="1" x14ac:dyDescent="0.5">
      <c r="A1028" s="49"/>
      <c r="B1028" s="43"/>
      <c r="C1028" s="57"/>
      <c r="D1028" s="57"/>
      <c r="E1028" s="57"/>
      <c r="F1028" s="57"/>
      <c r="G1028" s="57"/>
      <c r="H1028" s="57"/>
      <c r="I1028" s="57"/>
      <c r="J1028" s="57"/>
      <c r="K1028" s="57"/>
      <c r="L1028" s="57"/>
      <c r="M1028" s="57"/>
      <c r="N1028" s="57"/>
      <c r="O1028" s="57"/>
      <c r="P1028" s="57"/>
      <c r="Q1028" s="43"/>
      <c r="R1028" s="43"/>
      <c r="S1028" s="43"/>
      <c r="T1028" s="43"/>
      <c r="U1028" s="43"/>
      <c r="V1028" s="43"/>
      <c r="W1028" s="43"/>
      <c r="X1028" s="43"/>
      <c r="Y1028" s="43"/>
      <c r="Z1028" s="43"/>
      <c r="AA1028" s="43"/>
      <c r="AB1028" s="43"/>
      <c r="AC1028" s="43"/>
      <c r="AD1028" s="43"/>
      <c r="AE1028" s="43"/>
      <c r="AF1028" s="43"/>
      <c r="AG1028" s="43"/>
      <c r="AH1028" s="43"/>
      <c r="BB1028" s="43"/>
      <c r="BC1028" s="43"/>
      <c r="BD1028" s="43"/>
      <c r="BE1028" s="43"/>
      <c r="BF1028" s="43"/>
      <c r="BG1028" s="43"/>
      <c r="BH1028" s="43"/>
      <c r="BI1028" s="43"/>
    </row>
    <row r="1029" spans="1:61" ht="15.75" customHeight="1" x14ac:dyDescent="0.5">
      <c r="AA1029" s="43"/>
      <c r="AB1029" s="43"/>
      <c r="AC1029" s="43"/>
      <c r="AD1029" s="43"/>
      <c r="AE1029" s="43"/>
      <c r="AF1029" s="43"/>
      <c r="AG1029" s="43"/>
      <c r="AH1029" s="43"/>
      <c r="BB1029" s="43"/>
      <c r="BC1029" s="43"/>
      <c r="BD1029" s="43"/>
      <c r="BE1029" s="43"/>
      <c r="BF1029" s="43"/>
      <c r="BG1029" s="43"/>
      <c r="BH1029" s="43"/>
      <c r="BI1029" s="43"/>
    </row>
    <row r="1030" spans="1:61" ht="15.75" customHeight="1" x14ac:dyDescent="0.5">
      <c r="AA1030" s="43"/>
      <c r="AB1030" s="43"/>
      <c r="AC1030" s="43"/>
      <c r="AD1030" s="43"/>
      <c r="AE1030" s="43"/>
      <c r="AF1030" s="43"/>
      <c r="AG1030" s="43"/>
      <c r="AH1030" s="43"/>
      <c r="BB1030" s="43"/>
      <c r="BC1030" s="43"/>
      <c r="BD1030" s="43"/>
      <c r="BE1030" s="43"/>
      <c r="BF1030" s="43"/>
      <c r="BG1030" s="43"/>
      <c r="BH1030" s="43"/>
      <c r="BI1030" s="43"/>
    </row>
    <row r="1031" spans="1:61" ht="15.75" customHeight="1" x14ac:dyDescent="0.5">
      <c r="AA1031" s="43"/>
      <c r="AB1031" s="43"/>
      <c r="AC1031" s="43"/>
      <c r="AD1031" s="43"/>
      <c r="AE1031" s="43"/>
      <c r="AF1031" s="43"/>
      <c r="AG1031" s="43"/>
      <c r="AH1031" s="43"/>
      <c r="BB1031" s="43"/>
      <c r="BC1031" s="43"/>
      <c r="BD1031" s="43"/>
      <c r="BE1031" s="43"/>
      <c r="BF1031" s="43"/>
      <c r="BG1031" s="43"/>
      <c r="BH1031" s="43"/>
      <c r="BI1031" s="43"/>
    </row>
    <row r="1032" spans="1:61" ht="15.75" customHeight="1" x14ac:dyDescent="0.5">
      <c r="AA1032" s="43"/>
      <c r="AB1032" s="43"/>
      <c r="AC1032" s="43"/>
      <c r="AD1032" s="43"/>
      <c r="AE1032" s="43"/>
      <c r="AF1032" s="43"/>
      <c r="AG1032" s="43"/>
      <c r="AH1032" s="43"/>
      <c r="BB1032" s="43"/>
      <c r="BC1032" s="43"/>
      <c r="BD1032" s="43"/>
      <c r="BE1032" s="43"/>
      <c r="BF1032" s="43"/>
      <c r="BG1032" s="43"/>
      <c r="BH1032" s="43"/>
      <c r="BI1032" s="43"/>
    </row>
    <row r="1033" spans="1:61" ht="15.75" customHeight="1" x14ac:dyDescent="0.5">
      <c r="AA1033" s="43"/>
      <c r="AB1033" s="43"/>
      <c r="AC1033" s="43"/>
      <c r="AD1033" s="43"/>
      <c r="AE1033" s="43"/>
      <c r="AF1033" s="43"/>
      <c r="AG1033" s="43"/>
      <c r="AH1033" s="43"/>
      <c r="BB1033" s="43"/>
      <c r="BC1033" s="43"/>
      <c r="BD1033" s="43"/>
      <c r="BE1033" s="43"/>
      <c r="BF1033" s="43"/>
      <c r="BG1033" s="43"/>
      <c r="BH1033" s="43"/>
      <c r="BI1033" s="43"/>
    </row>
    <row r="1034" spans="1:61" ht="15.75" customHeight="1" x14ac:dyDescent="0.5">
      <c r="AA1034" s="43"/>
      <c r="AB1034" s="43"/>
      <c r="AC1034" s="43"/>
      <c r="AD1034" s="43"/>
      <c r="AE1034" s="43"/>
      <c r="AF1034" s="43"/>
      <c r="AG1034" s="43"/>
      <c r="AH1034" s="43"/>
      <c r="BB1034" s="43"/>
      <c r="BC1034" s="43"/>
      <c r="BD1034" s="43"/>
      <c r="BE1034" s="43"/>
      <c r="BF1034" s="43"/>
      <c r="BG1034" s="43"/>
      <c r="BH1034" s="43"/>
      <c r="BI1034" s="43"/>
    </row>
    <row r="1035" spans="1:61" ht="15.75" customHeight="1" x14ac:dyDescent="0.5">
      <c r="AA1035" s="43"/>
      <c r="AB1035" s="43"/>
      <c r="AC1035" s="43"/>
      <c r="AD1035" s="43"/>
      <c r="AE1035" s="43"/>
      <c r="AF1035" s="43"/>
      <c r="AG1035" s="43"/>
      <c r="AH1035" s="43"/>
      <c r="BB1035" s="43"/>
      <c r="BC1035" s="43"/>
      <c r="BD1035" s="43"/>
      <c r="BE1035" s="43"/>
      <c r="BF1035" s="43"/>
      <c r="BG1035" s="43"/>
      <c r="BH1035" s="43"/>
      <c r="BI1035" s="43"/>
    </row>
    <row r="1036" spans="1:61" ht="15.75" customHeight="1" x14ac:dyDescent="0.5">
      <c r="AA1036" s="43"/>
      <c r="AB1036" s="43"/>
      <c r="AC1036" s="43"/>
      <c r="AD1036" s="43"/>
      <c r="AE1036" s="43"/>
      <c r="AF1036" s="43"/>
      <c r="AG1036" s="43"/>
      <c r="AH1036" s="43"/>
      <c r="BB1036" s="43"/>
      <c r="BC1036" s="43"/>
      <c r="BD1036" s="43"/>
      <c r="BE1036" s="43"/>
      <c r="BF1036" s="43"/>
      <c r="BG1036" s="43"/>
      <c r="BH1036" s="43"/>
      <c r="BI1036" s="43"/>
    </row>
    <row r="1037" spans="1:61" ht="15.75" customHeight="1" x14ac:dyDescent="0.5">
      <c r="AA1037" s="43"/>
      <c r="AB1037" s="43"/>
      <c r="AC1037" s="43"/>
      <c r="AD1037" s="43"/>
      <c r="AE1037" s="43"/>
      <c r="AF1037" s="43"/>
      <c r="AG1037" s="43"/>
      <c r="AH1037" s="43"/>
      <c r="BB1037" s="43"/>
      <c r="BC1037" s="43"/>
      <c r="BD1037" s="43"/>
      <c r="BE1037" s="43"/>
      <c r="BF1037" s="43"/>
      <c r="BG1037" s="43"/>
      <c r="BH1037" s="43"/>
      <c r="BI1037" s="43"/>
    </row>
    <row r="1038" spans="1:61" ht="15.75" customHeight="1" x14ac:dyDescent="0.5">
      <c r="AA1038" s="43"/>
      <c r="AB1038" s="43"/>
      <c r="AC1038" s="43"/>
      <c r="AD1038" s="43"/>
      <c r="AE1038" s="43"/>
      <c r="AF1038" s="43"/>
      <c r="AG1038" s="43"/>
      <c r="AH1038" s="43"/>
      <c r="BB1038" s="43"/>
      <c r="BC1038" s="43"/>
      <c r="BD1038" s="43"/>
      <c r="BE1038" s="43"/>
      <c r="BF1038" s="43"/>
      <c r="BG1038" s="43"/>
      <c r="BH1038" s="43"/>
      <c r="BI1038" s="43"/>
    </row>
    <row r="1039" spans="1:61" ht="15.75" customHeight="1" x14ac:dyDescent="0.5">
      <c r="AA1039" s="43"/>
      <c r="AB1039" s="43"/>
      <c r="AC1039" s="43"/>
      <c r="AD1039" s="43"/>
      <c r="AE1039" s="43"/>
      <c r="AF1039" s="43"/>
      <c r="AG1039" s="43"/>
      <c r="AH1039" s="43"/>
      <c r="BB1039" s="43"/>
      <c r="BC1039" s="43"/>
      <c r="BD1039" s="43"/>
      <c r="BE1039" s="43"/>
      <c r="BF1039" s="43"/>
      <c r="BG1039" s="43"/>
      <c r="BH1039" s="43"/>
      <c r="BI1039" s="43"/>
    </row>
    <row r="1040" spans="1:61" ht="15.75" customHeight="1" x14ac:dyDescent="0.5">
      <c r="AA1040" s="43"/>
      <c r="AB1040" s="43"/>
      <c r="AC1040" s="43"/>
      <c r="AD1040" s="43"/>
      <c r="AE1040" s="43"/>
      <c r="AF1040" s="43"/>
      <c r="AG1040" s="43"/>
      <c r="AH1040" s="43"/>
      <c r="BB1040" s="43"/>
      <c r="BC1040" s="43"/>
      <c r="BD1040" s="43"/>
      <c r="BE1040" s="43"/>
      <c r="BF1040" s="43"/>
      <c r="BG1040" s="43"/>
      <c r="BH1040" s="43"/>
      <c r="BI1040" s="43"/>
    </row>
    <row r="1041" spans="27:61" ht="15.75" customHeight="1" x14ac:dyDescent="0.5">
      <c r="AA1041" s="43"/>
      <c r="AB1041" s="43"/>
      <c r="AC1041" s="43"/>
      <c r="AD1041" s="43"/>
      <c r="AE1041" s="43"/>
      <c r="AF1041" s="43"/>
      <c r="AG1041" s="43"/>
      <c r="AH1041" s="43"/>
      <c r="BB1041" s="43"/>
      <c r="BC1041" s="43"/>
      <c r="BD1041" s="43"/>
      <c r="BE1041" s="43"/>
      <c r="BF1041" s="43"/>
      <c r="BG1041" s="43"/>
      <c r="BH1041" s="43"/>
      <c r="BI1041" s="43"/>
    </row>
    <row r="1042" spans="27:61" ht="15.75" customHeight="1" x14ac:dyDescent="0.5">
      <c r="AA1042" s="43"/>
      <c r="AB1042" s="43"/>
      <c r="AC1042" s="43"/>
      <c r="AD1042" s="43"/>
      <c r="AE1042" s="43"/>
      <c r="AF1042" s="43"/>
      <c r="AG1042" s="43"/>
      <c r="AH1042" s="43"/>
      <c r="BB1042" s="43"/>
      <c r="BC1042" s="43"/>
      <c r="BD1042" s="43"/>
      <c r="BE1042" s="43"/>
      <c r="BF1042" s="43"/>
      <c r="BG1042" s="43"/>
      <c r="BH1042" s="43"/>
      <c r="BI1042" s="43"/>
    </row>
    <row r="1043" spans="27:61" ht="15.75" customHeight="1" x14ac:dyDescent="0.5">
      <c r="AA1043" s="43"/>
      <c r="AB1043" s="43"/>
      <c r="AC1043" s="43"/>
      <c r="AD1043" s="43"/>
      <c r="AE1043" s="43"/>
      <c r="AF1043" s="43"/>
      <c r="AG1043" s="43"/>
      <c r="AH1043" s="43"/>
      <c r="BB1043" s="43"/>
      <c r="BC1043" s="43"/>
      <c r="BD1043" s="43"/>
      <c r="BE1043" s="43"/>
      <c r="BF1043" s="43"/>
      <c r="BG1043" s="43"/>
      <c r="BH1043" s="43"/>
      <c r="BI1043" s="43"/>
    </row>
    <row r="1044" spans="27:61" ht="15.75" customHeight="1" x14ac:dyDescent="0.5">
      <c r="AA1044" s="43"/>
      <c r="AB1044" s="43"/>
      <c r="AC1044" s="43"/>
      <c r="AD1044" s="43"/>
      <c r="AE1044" s="43"/>
      <c r="AF1044" s="43"/>
      <c r="AG1044" s="43"/>
      <c r="AH1044" s="43"/>
      <c r="BB1044" s="43"/>
      <c r="BC1044" s="43"/>
      <c r="BD1044" s="43"/>
      <c r="BE1044" s="43"/>
      <c r="BF1044" s="43"/>
      <c r="BG1044" s="43"/>
      <c r="BH1044" s="43"/>
      <c r="BI1044" s="43"/>
    </row>
    <row r="1045" spans="27:61" ht="15.75" customHeight="1" x14ac:dyDescent="0.5">
      <c r="AA1045" s="43"/>
      <c r="AB1045" s="43"/>
      <c r="AC1045" s="43"/>
      <c r="AD1045" s="43"/>
      <c r="AE1045" s="43"/>
      <c r="AF1045" s="43"/>
      <c r="AG1045" s="43"/>
      <c r="AH1045" s="43"/>
      <c r="BB1045" s="43"/>
      <c r="BC1045" s="43"/>
      <c r="BD1045" s="43"/>
      <c r="BE1045" s="43"/>
      <c r="BF1045" s="43"/>
      <c r="BG1045" s="43"/>
      <c r="BH1045" s="43"/>
      <c r="BI1045" s="43"/>
    </row>
    <row r="1046" spans="27:61" ht="15.75" customHeight="1" x14ac:dyDescent="0.5">
      <c r="AA1046" s="43"/>
      <c r="AB1046" s="43"/>
      <c r="AC1046" s="43"/>
      <c r="AD1046" s="43"/>
      <c r="AE1046" s="43"/>
      <c r="AF1046" s="43"/>
      <c r="AG1046" s="43"/>
      <c r="AH1046" s="43"/>
      <c r="BB1046" s="43"/>
      <c r="BC1046" s="43"/>
      <c r="BD1046" s="43"/>
      <c r="BE1046" s="43"/>
      <c r="BF1046" s="43"/>
      <c r="BG1046" s="43"/>
      <c r="BH1046" s="43"/>
      <c r="BI1046" s="43"/>
    </row>
    <row r="1047" spans="27:61" ht="15.75" customHeight="1" x14ac:dyDescent="0.5">
      <c r="AA1047" s="43"/>
      <c r="AB1047" s="43"/>
      <c r="AC1047" s="43"/>
      <c r="AD1047" s="43"/>
      <c r="AE1047" s="43"/>
      <c r="AF1047" s="43"/>
      <c r="AG1047" s="43"/>
      <c r="AH1047" s="43"/>
      <c r="BB1047" s="43"/>
      <c r="BC1047" s="43"/>
      <c r="BD1047" s="43"/>
      <c r="BE1047" s="43"/>
      <c r="BF1047" s="43"/>
      <c r="BG1047" s="43"/>
      <c r="BH1047" s="43"/>
      <c r="BI1047" s="43"/>
    </row>
    <row r="1048" spans="27:61" ht="15.75" customHeight="1" x14ac:dyDescent="0.5">
      <c r="AA1048" s="43"/>
      <c r="AB1048" s="43"/>
      <c r="AC1048" s="43"/>
      <c r="AD1048" s="43"/>
      <c r="AE1048" s="43"/>
      <c r="AH1048" s="43"/>
      <c r="BB1048" s="43"/>
      <c r="BC1048" s="43"/>
      <c r="BD1048" s="43"/>
      <c r="BE1048" s="43"/>
      <c r="BF1048" s="43"/>
      <c r="BG1048" s="43"/>
      <c r="BH1048" s="43"/>
      <c r="BI1048" s="43"/>
    </row>
    <row r="1049" spans="27:61" ht="15.75" customHeight="1" x14ac:dyDescent="0.5">
      <c r="AA1049" s="43"/>
      <c r="AB1049" s="43"/>
      <c r="AC1049" s="43"/>
      <c r="AD1049" s="43"/>
      <c r="AE1049" s="43"/>
      <c r="AH1049" s="43"/>
      <c r="BB1049" s="43"/>
      <c r="BC1049" s="43"/>
      <c r="BD1049" s="43"/>
      <c r="BE1049" s="43"/>
      <c r="BF1049" s="43"/>
      <c r="BG1049" s="43"/>
      <c r="BH1049" s="43"/>
      <c r="BI1049" s="43"/>
    </row>
    <row r="1050" spans="27:61" ht="15.75" customHeight="1" x14ac:dyDescent="0.5">
      <c r="AA1050" s="43"/>
      <c r="AB1050" s="43"/>
      <c r="AC1050" s="43"/>
      <c r="AD1050" s="43"/>
      <c r="AE1050" s="43"/>
      <c r="AH1050" s="43"/>
      <c r="BB1050" s="43"/>
      <c r="BC1050" s="43"/>
      <c r="BD1050" s="43"/>
      <c r="BE1050" s="43"/>
      <c r="BF1050" s="43"/>
      <c r="BG1050" s="43"/>
      <c r="BH1050" s="43"/>
      <c r="BI1050" s="43"/>
    </row>
    <row r="1051" spans="27:61" ht="15.75" customHeight="1" x14ac:dyDescent="0.5">
      <c r="AA1051" s="43"/>
      <c r="AB1051" s="43"/>
      <c r="AC1051" s="43"/>
      <c r="AD1051" s="43"/>
      <c r="AE1051" s="43"/>
      <c r="AH1051" s="43"/>
      <c r="BB1051" s="43"/>
      <c r="BC1051" s="43"/>
      <c r="BD1051" s="43"/>
      <c r="BE1051" s="43"/>
      <c r="BF1051" s="43"/>
      <c r="BG1051" s="43"/>
      <c r="BH1051" s="43"/>
      <c r="BI1051" s="43"/>
    </row>
    <row r="1052" spans="27:61" ht="15.75" customHeight="1" x14ac:dyDescent="0.5">
      <c r="AA1052" s="43"/>
      <c r="AB1052" s="43"/>
      <c r="AC1052" s="43"/>
      <c r="AD1052" s="43"/>
      <c r="AE1052" s="43"/>
      <c r="AH1052" s="43"/>
      <c r="BB1052" s="43"/>
      <c r="BC1052" s="43"/>
      <c r="BD1052" s="43"/>
      <c r="BE1052" s="43"/>
      <c r="BF1052" s="43"/>
      <c r="BG1052" s="43"/>
      <c r="BH1052" s="43"/>
      <c r="BI1052" s="43"/>
    </row>
    <row r="1053" spans="27:61" ht="15.75" customHeight="1" x14ac:dyDescent="0.5">
      <c r="AA1053" s="43"/>
      <c r="AB1053" s="43"/>
      <c r="AC1053" s="43"/>
      <c r="AD1053" s="43"/>
      <c r="AE1053" s="43"/>
      <c r="AH1053" s="43"/>
      <c r="BB1053" s="43"/>
      <c r="BC1053" s="43"/>
      <c r="BD1053" s="43"/>
      <c r="BE1053" s="43"/>
      <c r="BF1053" s="43"/>
      <c r="BG1053" s="43"/>
      <c r="BH1053" s="43"/>
      <c r="BI1053" s="43"/>
    </row>
    <row r="1054" spans="27:61" ht="15.75" customHeight="1" x14ac:dyDescent="0.5">
      <c r="AA1054" s="43"/>
      <c r="AB1054" s="43"/>
      <c r="AC1054" s="43"/>
      <c r="AD1054" s="43"/>
      <c r="AE1054" s="43"/>
      <c r="AH1054" s="43"/>
      <c r="BB1054" s="43"/>
      <c r="BC1054" s="43"/>
      <c r="BD1054" s="43"/>
      <c r="BE1054" s="43"/>
      <c r="BF1054" s="43"/>
      <c r="BG1054" s="43"/>
      <c r="BH1054" s="43"/>
      <c r="BI1054" s="43"/>
    </row>
    <row r="1055" spans="27:61" ht="15.75" customHeight="1" x14ac:dyDescent="0.5">
      <c r="AA1055" s="43"/>
      <c r="AB1055" s="43"/>
      <c r="AC1055" s="43"/>
      <c r="AD1055" s="43"/>
      <c r="AE1055" s="43"/>
      <c r="AH1055" s="43"/>
      <c r="BB1055" s="43"/>
      <c r="BC1055" s="43"/>
      <c r="BD1055" s="43"/>
      <c r="BE1055" s="43"/>
      <c r="BF1055" s="43"/>
      <c r="BG1055" s="43"/>
      <c r="BH1055" s="43"/>
      <c r="BI1055" s="43"/>
    </row>
    <row r="1056" spans="27:61" ht="15.75" customHeight="1" x14ac:dyDescent="0.5">
      <c r="AA1056" s="43"/>
      <c r="AE1056" s="43"/>
      <c r="AH1056" s="43"/>
      <c r="BB1056" s="43"/>
      <c r="BC1056" s="43"/>
      <c r="BD1056" s="43"/>
      <c r="BE1056" s="43"/>
      <c r="BF1056" s="43"/>
      <c r="BG1056" s="43"/>
      <c r="BH1056" s="43"/>
      <c r="BI1056" s="43"/>
    </row>
    <row r="1057" spans="27:61" ht="15.75" customHeight="1" x14ac:dyDescent="0.5">
      <c r="AA1057" s="43"/>
      <c r="AE1057" s="43"/>
      <c r="AH1057" s="43"/>
      <c r="BB1057" s="43"/>
      <c r="BC1057" s="43"/>
      <c r="BD1057" s="43"/>
      <c r="BE1057" s="43"/>
      <c r="BF1057" s="43"/>
      <c r="BG1057" s="43"/>
      <c r="BH1057" s="43"/>
      <c r="BI1057" s="43"/>
    </row>
    <row r="1058" spans="27:61" ht="15.75" customHeight="1" x14ac:dyDescent="0.5">
      <c r="AA1058" s="43"/>
      <c r="AE1058" s="43"/>
      <c r="AH1058" s="43"/>
      <c r="BB1058" s="43"/>
      <c r="BC1058" s="43"/>
      <c r="BD1058" s="43"/>
      <c r="BE1058" s="43"/>
      <c r="BF1058" s="43"/>
      <c r="BG1058" s="43"/>
      <c r="BH1058" s="43"/>
      <c r="BI1058" s="43"/>
    </row>
    <row r="1059" spans="27:61" ht="15.75" customHeight="1" x14ac:dyDescent="0.5">
      <c r="AA1059" s="43"/>
      <c r="AE1059" s="43"/>
      <c r="AH1059" s="43"/>
      <c r="BB1059" s="43"/>
      <c r="BC1059" s="43"/>
      <c r="BD1059" s="43"/>
      <c r="BE1059" s="43"/>
      <c r="BF1059" s="43"/>
      <c r="BG1059" s="43"/>
      <c r="BH1059" s="43"/>
      <c r="BI1059" s="43"/>
    </row>
  </sheetData>
  <sheetProtection algorithmName="SHA-512" hashValue="vXyJsup6f/KvSutdRKmpJbOec/Wu9hXc8bVQiexO7ihaiEhj4h+twq1J/PdeCgdZwOC65+Fu4c2b36akJA4eJA==" saltValue="9ScTjgbxdRRmzBbEBa+z0g==" spinCount="100000" sheet="1" objects="1" scenarios="1"/>
  <mergeCells count="49">
    <mergeCell ref="M1:N1"/>
    <mergeCell ref="O1:P1"/>
    <mergeCell ref="C20:D20"/>
    <mergeCell ref="E20:F20"/>
    <mergeCell ref="G20:H20"/>
    <mergeCell ref="I20:J20"/>
    <mergeCell ref="C1:D1"/>
    <mergeCell ref="E1:F1"/>
    <mergeCell ref="G1:H1"/>
    <mergeCell ref="I1:J1"/>
    <mergeCell ref="K1:L1"/>
    <mergeCell ref="K20:L20"/>
    <mergeCell ref="M20:N20"/>
    <mergeCell ref="O20:P20"/>
    <mergeCell ref="E28:F28"/>
    <mergeCell ref="G28:H28"/>
    <mergeCell ref="I28:J28"/>
    <mergeCell ref="K28:L28"/>
    <mergeCell ref="O28:P28"/>
    <mergeCell ref="O88:P88"/>
    <mergeCell ref="E51:F51"/>
    <mergeCell ref="G51:H51"/>
    <mergeCell ref="I51:J51"/>
    <mergeCell ref="K51:L51"/>
    <mergeCell ref="O51:P51"/>
    <mergeCell ref="M51:N51"/>
    <mergeCell ref="M88:N88"/>
    <mergeCell ref="O117:P117"/>
    <mergeCell ref="E101:F101"/>
    <mergeCell ref="G101:H101"/>
    <mergeCell ref="I101:J101"/>
    <mergeCell ref="K101:L101"/>
    <mergeCell ref="O101:P101"/>
    <mergeCell ref="C28:D28"/>
    <mergeCell ref="M28:N28"/>
    <mergeCell ref="C51:D51"/>
    <mergeCell ref="E117:F117"/>
    <mergeCell ref="G117:H117"/>
    <mergeCell ref="I117:J117"/>
    <mergeCell ref="K117:L117"/>
    <mergeCell ref="E88:F88"/>
    <mergeCell ref="G88:H88"/>
    <mergeCell ref="I88:J88"/>
    <mergeCell ref="K88:L88"/>
    <mergeCell ref="C101:D101"/>
    <mergeCell ref="M101:N101"/>
    <mergeCell ref="C117:D117"/>
    <mergeCell ref="M117:N117"/>
    <mergeCell ref="C88:D88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FBA3-6075-7C49-BA19-D8CD68B0D78A}">
  <dimension ref="B1:AK1000"/>
  <sheetViews>
    <sheetView workbookViewId="0">
      <selection activeCell="P20" sqref="P20"/>
    </sheetView>
  </sheetViews>
  <sheetFormatPr defaultColWidth="11.1875" defaultRowHeight="15.75" x14ac:dyDescent="0.5"/>
  <cols>
    <col min="1" max="1" width="6.8125" customWidth="1"/>
    <col min="2" max="2" width="15.8125" customWidth="1"/>
    <col min="3" max="4" width="8.3125" customWidth="1"/>
    <col min="5" max="5" width="7.6875" customWidth="1"/>
    <col min="6" max="6" width="6.8125" customWidth="1"/>
    <col min="7" max="7" width="15.8125" customWidth="1"/>
    <col min="8" max="14" width="6.8125" customWidth="1"/>
    <col min="15" max="15" width="44.8125" customWidth="1"/>
    <col min="16" max="16" width="20.1875" customWidth="1"/>
    <col min="17" max="18" width="14.5" customWidth="1"/>
    <col min="19" max="19" width="13.1875" customWidth="1"/>
    <col min="20" max="20" width="8" customWidth="1"/>
    <col min="21" max="21" width="6.5" customWidth="1"/>
    <col min="22" max="22" width="28.5" customWidth="1"/>
    <col min="23" max="24" width="14.5" customWidth="1"/>
    <col min="25" max="25" width="13.1875" customWidth="1"/>
    <col min="26" max="26" width="8" customWidth="1"/>
    <col min="27" max="27" width="6.3125" customWidth="1"/>
    <col min="28" max="28" width="15.3125" customWidth="1"/>
    <col min="29" max="29" width="13.3125" customWidth="1"/>
    <col min="30" max="30" width="13.1875" customWidth="1"/>
    <col min="31" max="31" width="8" customWidth="1"/>
    <col min="32" max="32" width="6.5" customWidth="1"/>
    <col min="33" max="33" width="15.1875" customWidth="1"/>
    <col min="34" max="34" width="13.3125" customWidth="1"/>
    <col min="35" max="35" width="13.1875" customWidth="1"/>
    <col min="36" max="36" width="8" customWidth="1"/>
    <col min="37" max="37" width="7.6875" bestFit="1" customWidth="1"/>
  </cols>
  <sheetData>
    <row r="1" spans="2:37" ht="15.75" customHeight="1" x14ac:dyDescent="0.5"/>
    <row r="2" spans="2:37" ht="15.75" customHeight="1" thickBot="1" x14ac:dyDescent="0.55000000000000004">
      <c r="B2" s="1" t="s">
        <v>188</v>
      </c>
      <c r="G2" s="1" t="s">
        <v>189</v>
      </c>
      <c r="P2" s="2">
        <v>2</v>
      </c>
      <c r="Q2" s="2">
        <v>3</v>
      </c>
      <c r="R2" s="2">
        <v>4</v>
      </c>
      <c r="S2" s="2">
        <v>5</v>
      </c>
      <c r="T2" s="2">
        <v>6</v>
      </c>
      <c r="U2" s="2">
        <v>7</v>
      </c>
      <c r="V2" s="2">
        <v>8</v>
      </c>
      <c r="W2" s="2">
        <v>9</v>
      </c>
      <c r="X2" s="2">
        <v>10</v>
      </c>
      <c r="Y2" s="2">
        <v>11</v>
      </c>
      <c r="Z2" s="2">
        <v>12</v>
      </c>
      <c r="AA2" s="2">
        <v>13</v>
      </c>
      <c r="AB2" s="2">
        <v>14</v>
      </c>
      <c r="AC2" s="2">
        <v>15</v>
      </c>
      <c r="AD2" s="2">
        <v>16</v>
      </c>
      <c r="AE2" s="2">
        <v>17</v>
      </c>
      <c r="AF2" s="2">
        <v>18</v>
      </c>
      <c r="AG2" s="2">
        <v>19</v>
      </c>
      <c r="AH2" s="2">
        <v>20</v>
      </c>
      <c r="AI2" s="2">
        <v>21</v>
      </c>
      <c r="AJ2" s="2">
        <v>22</v>
      </c>
      <c r="AK2" s="2">
        <v>23</v>
      </c>
    </row>
    <row r="3" spans="2:37" ht="15.75" customHeight="1" thickTop="1" x14ac:dyDescent="0.5">
      <c r="O3" s="3"/>
      <c r="P3" s="163" t="s">
        <v>190</v>
      </c>
      <c r="Q3" s="164"/>
      <c r="R3" s="164"/>
      <c r="S3" s="164"/>
      <c r="T3" s="164"/>
      <c r="U3" s="165"/>
      <c r="V3" s="166" t="s">
        <v>191</v>
      </c>
      <c r="W3" s="164"/>
      <c r="X3" s="164"/>
      <c r="Y3" s="164"/>
      <c r="Z3" s="164"/>
      <c r="AA3" s="165"/>
      <c r="AB3" s="163" t="s">
        <v>192</v>
      </c>
      <c r="AC3" s="164"/>
      <c r="AD3" s="164"/>
      <c r="AE3" s="164"/>
      <c r="AF3" s="165"/>
      <c r="AG3" s="166" t="s">
        <v>193</v>
      </c>
      <c r="AH3" s="164"/>
      <c r="AI3" s="164"/>
      <c r="AJ3" s="164"/>
      <c r="AK3" s="165"/>
    </row>
    <row r="4" spans="2:37" ht="15.75" customHeight="1" x14ac:dyDescent="0.5">
      <c r="C4" s="1" t="s">
        <v>194</v>
      </c>
      <c r="D4" s="1" t="s">
        <v>195</v>
      </c>
      <c r="O4" s="3"/>
      <c r="P4" s="4" t="s">
        <v>196</v>
      </c>
      <c r="Q4" s="5" t="s">
        <v>197</v>
      </c>
      <c r="R4" s="5" t="s">
        <v>198</v>
      </c>
      <c r="S4" s="5" t="s">
        <v>199</v>
      </c>
      <c r="T4" s="5" t="s">
        <v>200</v>
      </c>
      <c r="U4" s="6" t="s">
        <v>201</v>
      </c>
      <c r="V4" s="7" t="s">
        <v>196</v>
      </c>
      <c r="W4" s="5" t="s">
        <v>197</v>
      </c>
      <c r="X4" s="5" t="s">
        <v>198</v>
      </c>
      <c r="Y4" s="5" t="s">
        <v>199</v>
      </c>
      <c r="Z4" s="5" t="s">
        <v>200</v>
      </c>
      <c r="AA4" s="3" t="s">
        <v>201</v>
      </c>
      <c r="AB4" s="4" t="s">
        <v>202</v>
      </c>
      <c r="AC4" s="5" t="s">
        <v>203</v>
      </c>
      <c r="AD4" s="5" t="s">
        <v>199</v>
      </c>
      <c r="AE4" s="5" t="s">
        <v>200</v>
      </c>
      <c r="AF4" s="6" t="s">
        <v>201</v>
      </c>
      <c r="AG4" s="7" t="s">
        <v>204</v>
      </c>
      <c r="AH4" s="5" t="s">
        <v>203</v>
      </c>
      <c r="AI4" s="5" t="s">
        <v>199</v>
      </c>
      <c r="AJ4" s="5" t="s">
        <v>200</v>
      </c>
      <c r="AK4" s="6" t="s">
        <v>201</v>
      </c>
    </row>
    <row r="5" spans="2:37" ht="15.75" customHeight="1" x14ac:dyDescent="0.5">
      <c r="O5" s="17" t="str">
        <f>'Parkeerbalans Fase 5'!E1</f>
        <v>Nobelhorst - Fase 5</v>
      </c>
      <c r="P5" s="4">
        <v>8</v>
      </c>
      <c r="Q5" s="5">
        <v>8</v>
      </c>
      <c r="R5" s="5">
        <v>25</v>
      </c>
      <c r="S5" s="9">
        <f t="shared" ref="S5:S14" si="0">(CEILING((P5*R5)/$C$9/$C$10*($C$11/100)*($C$12/100),1))+(CEILING((Q5*R5)/$D$9/$D$10*($D$11/100)*($D$12/100),1))</f>
        <v>89</v>
      </c>
      <c r="T5" s="9">
        <f t="shared" ref="T5:T14" si="1">CEILING((P5*$C$14)*($C$13/100)+(P5*$C$15)*($C$13/100),1)+CEILING((Q5*$C$14)*($C$13/100)+(Q5*$C$15)*($C$13/100),1)</f>
        <v>18</v>
      </c>
      <c r="U5" s="10">
        <f t="shared" ref="U5:U14" si="2">S5+T5</f>
        <v>107</v>
      </c>
      <c r="V5" s="7">
        <v>0</v>
      </c>
      <c r="W5" s="5">
        <v>0</v>
      </c>
      <c r="X5" s="5">
        <v>0</v>
      </c>
      <c r="Y5" s="9">
        <f t="shared" ref="Y5:Y14" si="3">(CEILING((V5*X5)/$C$9/$C$10*($C$11/100)*($C$12/100),1))+(CEILING((W5*X5)/$D$9/$D$10*($D$11/100)*($D$12/100),1))</f>
        <v>0</v>
      </c>
      <c r="Z5" s="9">
        <f t="shared" ref="Z5:Z14" si="4">CEILING((V5*$C$14)*($C$13/100)+(V5*$C$15)*($C$13/100),1)+CEILING((W5*$C$14)*($C$13/100)+(W5*$C$15)*($C$13/100),1)</f>
        <v>0</v>
      </c>
      <c r="AA5" s="11">
        <f t="shared" ref="AA5:AA14" si="5">Y5+Z5</f>
        <v>0</v>
      </c>
      <c r="AB5" s="4">
        <v>8</v>
      </c>
      <c r="AC5" s="5">
        <v>15</v>
      </c>
      <c r="AD5" s="9">
        <f>IF(P5=0,CEILING((AB5*AC5)/$H$9/$H$10*($H$11/100)*($H$12/100),1),CEILING(CEILING((AB5*AC5)/$H$9/$H$10*($H$11/100)*($H$12/100),1)*($H$16/100),1))</f>
        <v>23</v>
      </c>
      <c r="AE5" s="9">
        <f t="shared" ref="AE5:AE14" si="6">CEILING((AB5*$H$14)*($H$13/100)+(AB5*$H$15)*($H$13/100),1)</f>
        <v>17</v>
      </c>
      <c r="AF5" s="10">
        <f t="shared" ref="AF5:AF14" si="7">AD5+AE5</f>
        <v>40</v>
      </c>
      <c r="AG5" s="7">
        <v>0</v>
      </c>
      <c r="AH5" s="5">
        <v>0</v>
      </c>
      <c r="AI5" s="9">
        <f t="shared" ref="AI5:AI6" si="8">IF(P5=0,CEILING((AG5*AH5)/$H$9/$H$10*($H$11/100)*($H$12/100),1),CEILING(CEILING((AG5*AH5)/$H$9/$H$10*($H$11/100)*($H$12/100),1)*($H$16/100),1))</f>
        <v>0</v>
      </c>
      <c r="AJ5" s="9">
        <f t="shared" ref="AJ5:AJ14" si="9">CEILING((AG5*2)*($H$13/100)+(AG5*$H$15)*($H$13/100),1)</f>
        <v>0</v>
      </c>
      <c r="AK5" s="10">
        <f t="shared" ref="AK5:AK14" si="10">AI5+AJ5</f>
        <v>0</v>
      </c>
    </row>
    <row r="6" spans="2:37" ht="15.75" customHeight="1" x14ac:dyDescent="0.5">
      <c r="B6" s="1" t="s">
        <v>205</v>
      </c>
      <c r="C6" s="12">
        <v>8</v>
      </c>
      <c r="D6" s="13">
        <v>8</v>
      </c>
      <c r="G6" s="1" t="s">
        <v>206</v>
      </c>
      <c r="H6" s="14">
        <v>8</v>
      </c>
      <c r="O6" s="16"/>
      <c r="P6" s="4"/>
      <c r="Q6" s="5"/>
      <c r="R6" s="5"/>
      <c r="S6" s="9">
        <f t="shared" si="0"/>
        <v>0</v>
      </c>
      <c r="T6" s="9">
        <f t="shared" si="1"/>
        <v>0</v>
      </c>
      <c r="U6" s="10">
        <f t="shared" si="2"/>
        <v>0</v>
      </c>
      <c r="V6" s="7"/>
      <c r="W6" s="5"/>
      <c r="X6" s="5"/>
      <c r="Y6" s="9">
        <f t="shared" si="3"/>
        <v>0</v>
      </c>
      <c r="Z6" s="9">
        <f t="shared" si="4"/>
        <v>0</v>
      </c>
      <c r="AA6" s="11">
        <f t="shared" si="5"/>
        <v>0</v>
      </c>
      <c r="AB6" s="4"/>
      <c r="AC6" s="5"/>
      <c r="AD6" s="9">
        <f t="shared" ref="AD6:AD7" si="11">IF(P6=0,CEILING((AB6*AC6)/$H$9/$H$10*($H$11/100)*($H$12/100),1),CEILING(CEILING((AB6*AC6)/$H$9/$H$10*($H$11/100)*($H$12/100),1)*($H$16/100),1))</f>
        <v>0</v>
      </c>
      <c r="AE6" s="9">
        <f t="shared" si="6"/>
        <v>0</v>
      </c>
      <c r="AF6" s="10">
        <f t="shared" si="7"/>
        <v>0</v>
      </c>
      <c r="AG6" s="7"/>
      <c r="AH6" s="5"/>
      <c r="AI6" s="9">
        <f t="shared" si="8"/>
        <v>0</v>
      </c>
      <c r="AJ6" s="9">
        <f t="shared" si="9"/>
        <v>0</v>
      </c>
      <c r="AK6" s="10">
        <f t="shared" si="10"/>
        <v>0</v>
      </c>
    </row>
    <row r="7" spans="2:37" ht="15.75" customHeight="1" x14ac:dyDescent="0.5">
      <c r="O7" s="8"/>
      <c r="P7" s="4"/>
      <c r="Q7" s="5"/>
      <c r="R7" s="5"/>
      <c r="S7" s="9">
        <f t="shared" si="0"/>
        <v>0</v>
      </c>
      <c r="T7" s="9">
        <f t="shared" si="1"/>
        <v>0</v>
      </c>
      <c r="U7" s="10">
        <f t="shared" si="2"/>
        <v>0</v>
      </c>
      <c r="V7" s="7"/>
      <c r="W7" s="5"/>
      <c r="X7" s="5"/>
      <c r="Y7" s="9">
        <f t="shared" si="3"/>
        <v>0</v>
      </c>
      <c r="Z7" s="9">
        <f t="shared" si="4"/>
        <v>0</v>
      </c>
      <c r="AA7" s="11">
        <f t="shared" si="5"/>
        <v>0</v>
      </c>
      <c r="AB7" s="4"/>
      <c r="AC7" s="5"/>
      <c r="AD7" s="9">
        <f t="shared" si="11"/>
        <v>0</v>
      </c>
      <c r="AE7" s="9">
        <f t="shared" si="6"/>
        <v>0</v>
      </c>
      <c r="AF7" s="10">
        <f t="shared" si="7"/>
        <v>0</v>
      </c>
      <c r="AG7" s="7"/>
      <c r="AH7" s="5"/>
      <c r="AI7" s="9">
        <f t="shared" ref="AI7:AI14" si="12">CEILING((AG7*AH7)/$H$9/$H$10*($H$11/100)*($H$12/100),1)</f>
        <v>0</v>
      </c>
      <c r="AJ7" s="9">
        <f t="shared" si="9"/>
        <v>0</v>
      </c>
      <c r="AK7" s="10">
        <f t="shared" si="10"/>
        <v>0</v>
      </c>
    </row>
    <row r="8" spans="2:37" ht="15.75" customHeight="1" x14ac:dyDescent="0.5">
      <c r="B8" s="1" t="s">
        <v>207</v>
      </c>
      <c r="C8" s="15">
        <v>25</v>
      </c>
      <c r="D8" s="15">
        <v>25</v>
      </c>
      <c r="G8" s="1" t="s">
        <v>208</v>
      </c>
      <c r="H8" s="15">
        <v>15</v>
      </c>
      <c r="O8" s="8"/>
      <c r="P8" s="4"/>
      <c r="Q8" s="5"/>
      <c r="R8" s="5"/>
      <c r="S8" s="9">
        <f t="shared" si="0"/>
        <v>0</v>
      </c>
      <c r="T8" s="9">
        <f t="shared" si="1"/>
        <v>0</v>
      </c>
      <c r="U8" s="10">
        <f t="shared" si="2"/>
        <v>0</v>
      </c>
      <c r="V8" s="7"/>
      <c r="W8" s="5"/>
      <c r="X8" s="5"/>
      <c r="Y8" s="9">
        <f t="shared" si="3"/>
        <v>0</v>
      </c>
      <c r="Z8" s="9">
        <f t="shared" si="4"/>
        <v>0</v>
      </c>
      <c r="AA8" s="11">
        <f t="shared" si="5"/>
        <v>0</v>
      </c>
      <c r="AB8" s="4"/>
      <c r="AC8" s="5"/>
      <c r="AD8" s="9">
        <f t="shared" ref="AD8:AD14" si="13">CEILING((AB8*AC8)/$H$9/$H$10*($H$11/100)*($H$12/100),1)</f>
        <v>0</v>
      </c>
      <c r="AE8" s="9">
        <f t="shared" si="6"/>
        <v>0</v>
      </c>
      <c r="AF8" s="10">
        <f t="shared" si="7"/>
        <v>0</v>
      </c>
      <c r="AG8" s="7"/>
      <c r="AH8" s="5"/>
      <c r="AI8" s="9">
        <f t="shared" si="12"/>
        <v>0</v>
      </c>
      <c r="AJ8" s="9">
        <f t="shared" si="9"/>
        <v>0</v>
      </c>
      <c r="AK8" s="10">
        <f t="shared" si="10"/>
        <v>0</v>
      </c>
    </row>
    <row r="9" spans="2:37" ht="15.75" customHeight="1" x14ac:dyDescent="0.5">
      <c r="B9" s="1" t="s">
        <v>209</v>
      </c>
      <c r="C9" s="1">
        <v>1.33</v>
      </c>
      <c r="D9" s="1">
        <v>1.18</v>
      </c>
      <c r="G9" s="1" t="s">
        <v>209</v>
      </c>
      <c r="H9" s="1">
        <v>1.18</v>
      </c>
      <c r="O9" s="3"/>
      <c r="P9" s="4"/>
      <c r="Q9" s="5"/>
      <c r="R9" s="5"/>
      <c r="S9" s="9">
        <f t="shared" si="0"/>
        <v>0</v>
      </c>
      <c r="T9" s="9">
        <f t="shared" si="1"/>
        <v>0</v>
      </c>
      <c r="U9" s="10">
        <f t="shared" si="2"/>
        <v>0</v>
      </c>
      <c r="V9" s="7"/>
      <c r="W9" s="5"/>
      <c r="X9" s="5"/>
      <c r="Y9" s="9">
        <f t="shared" si="3"/>
        <v>0</v>
      </c>
      <c r="Z9" s="9">
        <f t="shared" si="4"/>
        <v>0</v>
      </c>
      <c r="AA9" s="11">
        <f t="shared" si="5"/>
        <v>0</v>
      </c>
      <c r="AB9" s="4"/>
      <c r="AC9" s="5"/>
      <c r="AD9" s="9">
        <f t="shared" si="13"/>
        <v>0</v>
      </c>
      <c r="AE9" s="9">
        <f t="shared" si="6"/>
        <v>0</v>
      </c>
      <c r="AF9" s="10">
        <f t="shared" si="7"/>
        <v>0</v>
      </c>
      <c r="AG9" s="7"/>
      <c r="AH9" s="5"/>
      <c r="AI9" s="9">
        <f t="shared" si="12"/>
        <v>0</v>
      </c>
      <c r="AJ9" s="9">
        <f t="shared" si="9"/>
        <v>0</v>
      </c>
      <c r="AK9" s="10">
        <f t="shared" si="10"/>
        <v>0</v>
      </c>
    </row>
    <row r="10" spans="2:37" ht="15.75" customHeight="1" x14ac:dyDescent="0.5">
      <c r="B10" s="1" t="s">
        <v>210</v>
      </c>
      <c r="C10" s="1">
        <v>2</v>
      </c>
      <c r="D10" s="1">
        <v>4</v>
      </c>
      <c r="G10" s="1" t="s">
        <v>210</v>
      </c>
      <c r="H10" s="1">
        <v>3</v>
      </c>
      <c r="O10" s="3"/>
      <c r="P10" s="4"/>
      <c r="Q10" s="5"/>
      <c r="R10" s="5"/>
      <c r="S10" s="9">
        <f t="shared" si="0"/>
        <v>0</v>
      </c>
      <c r="T10" s="9">
        <f t="shared" si="1"/>
        <v>0</v>
      </c>
      <c r="U10" s="10">
        <f t="shared" si="2"/>
        <v>0</v>
      </c>
      <c r="V10" s="7"/>
      <c r="W10" s="5"/>
      <c r="X10" s="5"/>
      <c r="Y10" s="9">
        <f t="shared" si="3"/>
        <v>0</v>
      </c>
      <c r="Z10" s="9">
        <f t="shared" si="4"/>
        <v>0</v>
      </c>
      <c r="AA10" s="11">
        <f t="shared" si="5"/>
        <v>0</v>
      </c>
      <c r="AB10" s="4"/>
      <c r="AC10" s="5"/>
      <c r="AD10" s="9">
        <f t="shared" si="13"/>
        <v>0</v>
      </c>
      <c r="AE10" s="9">
        <f t="shared" si="6"/>
        <v>0</v>
      </c>
      <c r="AF10" s="10">
        <f t="shared" si="7"/>
        <v>0</v>
      </c>
      <c r="AG10" s="7"/>
      <c r="AH10" s="5"/>
      <c r="AI10" s="9">
        <f t="shared" si="12"/>
        <v>0</v>
      </c>
      <c r="AJ10" s="9">
        <f t="shared" si="9"/>
        <v>0</v>
      </c>
      <c r="AK10" s="10">
        <f t="shared" si="10"/>
        <v>0</v>
      </c>
    </row>
    <row r="11" spans="2:37" ht="15.75" customHeight="1" x14ac:dyDescent="0.5">
      <c r="B11" s="1" t="s">
        <v>211</v>
      </c>
      <c r="C11" s="1">
        <v>100</v>
      </c>
      <c r="D11" s="1">
        <v>80</v>
      </c>
      <c r="G11" s="1" t="s">
        <v>211</v>
      </c>
      <c r="H11" s="1">
        <v>100</v>
      </c>
      <c r="O11" s="3"/>
      <c r="P11" s="4"/>
      <c r="Q11" s="5"/>
      <c r="R11" s="5"/>
      <c r="S11" s="9">
        <f t="shared" si="0"/>
        <v>0</v>
      </c>
      <c r="T11" s="9">
        <f t="shared" si="1"/>
        <v>0</v>
      </c>
      <c r="U11" s="10">
        <f t="shared" si="2"/>
        <v>0</v>
      </c>
      <c r="V11" s="7"/>
      <c r="W11" s="5"/>
      <c r="X11" s="5"/>
      <c r="Y11" s="9">
        <f t="shared" si="3"/>
        <v>0</v>
      </c>
      <c r="Z11" s="9">
        <f t="shared" si="4"/>
        <v>0</v>
      </c>
      <c r="AA11" s="11">
        <f t="shared" si="5"/>
        <v>0</v>
      </c>
      <c r="AB11" s="4"/>
      <c r="AC11" s="5"/>
      <c r="AD11" s="9">
        <f t="shared" si="13"/>
        <v>0</v>
      </c>
      <c r="AE11" s="9">
        <f t="shared" si="6"/>
        <v>0</v>
      </c>
      <c r="AF11" s="10">
        <f t="shared" si="7"/>
        <v>0</v>
      </c>
      <c r="AG11" s="7"/>
      <c r="AH11" s="5"/>
      <c r="AI11" s="9">
        <f t="shared" si="12"/>
        <v>0</v>
      </c>
      <c r="AJ11" s="9">
        <f t="shared" si="9"/>
        <v>0</v>
      </c>
      <c r="AK11" s="10">
        <f t="shared" si="10"/>
        <v>0</v>
      </c>
    </row>
    <row r="12" spans="2:37" ht="15.75" customHeight="1" x14ac:dyDescent="0.5">
      <c r="B12" s="1" t="s">
        <v>212</v>
      </c>
      <c r="C12" s="1">
        <v>80</v>
      </c>
      <c r="D12" s="1">
        <v>80</v>
      </c>
      <c r="G12" s="1" t="s">
        <v>212</v>
      </c>
      <c r="H12" s="1">
        <v>80</v>
      </c>
      <c r="O12" s="3"/>
      <c r="P12" s="4"/>
      <c r="Q12" s="5"/>
      <c r="R12" s="5"/>
      <c r="S12" s="9">
        <f t="shared" si="0"/>
        <v>0</v>
      </c>
      <c r="T12" s="9">
        <f t="shared" si="1"/>
        <v>0</v>
      </c>
      <c r="U12" s="10">
        <f t="shared" si="2"/>
        <v>0</v>
      </c>
      <c r="V12" s="7"/>
      <c r="W12" s="5"/>
      <c r="X12" s="5"/>
      <c r="Y12" s="9">
        <f t="shared" si="3"/>
        <v>0</v>
      </c>
      <c r="Z12" s="9">
        <f t="shared" si="4"/>
        <v>0</v>
      </c>
      <c r="AA12" s="11">
        <f t="shared" si="5"/>
        <v>0</v>
      </c>
      <c r="AB12" s="4"/>
      <c r="AC12" s="5"/>
      <c r="AD12" s="9">
        <f t="shared" si="13"/>
        <v>0</v>
      </c>
      <c r="AE12" s="9">
        <f t="shared" si="6"/>
        <v>0</v>
      </c>
      <c r="AF12" s="10">
        <f t="shared" si="7"/>
        <v>0</v>
      </c>
      <c r="AG12" s="7"/>
      <c r="AH12" s="5"/>
      <c r="AI12" s="9">
        <f t="shared" si="12"/>
        <v>0</v>
      </c>
      <c r="AJ12" s="9">
        <f t="shared" si="9"/>
        <v>0</v>
      </c>
      <c r="AK12" s="10">
        <f t="shared" si="10"/>
        <v>0</v>
      </c>
    </row>
    <row r="13" spans="2:37" ht="15.75" customHeight="1" x14ac:dyDescent="0.5">
      <c r="B13" s="1" t="s">
        <v>213</v>
      </c>
      <c r="C13" s="1">
        <v>80</v>
      </c>
      <c r="G13" s="1" t="s">
        <v>213</v>
      </c>
      <c r="H13" s="1">
        <v>80</v>
      </c>
      <c r="O13" s="3"/>
      <c r="P13" s="4"/>
      <c r="Q13" s="5"/>
      <c r="R13" s="5"/>
      <c r="S13" s="9">
        <f t="shared" si="0"/>
        <v>0</v>
      </c>
      <c r="T13" s="9">
        <f t="shared" si="1"/>
        <v>0</v>
      </c>
      <c r="U13" s="10">
        <f t="shared" si="2"/>
        <v>0</v>
      </c>
      <c r="V13" s="7"/>
      <c r="W13" s="5"/>
      <c r="X13" s="5"/>
      <c r="Y13" s="9">
        <f t="shared" si="3"/>
        <v>0</v>
      </c>
      <c r="Z13" s="9">
        <f t="shared" si="4"/>
        <v>0</v>
      </c>
      <c r="AA13" s="11">
        <f t="shared" si="5"/>
        <v>0</v>
      </c>
      <c r="AB13" s="4"/>
      <c r="AC13" s="5"/>
      <c r="AD13" s="9">
        <f t="shared" si="13"/>
        <v>0</v>
      </c>
      <c r="AE13" s="9">
        <f t="shared" si="6"/>
        <v>0</v>
      </c>
      <c r="AF13" s="10">
        <f t="shared" si="7"/>
        <v>0</v>
      </c>
      <c r="AG13" s="7"/>
      <c r="AH13" s="5"/>
      <c r="AI13" s="9">
        <f t="shared" si="12"/>
        <v>0</v>
      </c>
      <c r="AJ13" s="9">
        <f t="shared" si="9"/>
        <v>0</v>
      </c>
      <c r="AK13" s="10">
        <f t="shared" si="10"/>
        <v>0</v>
      </c>
    </row>
    <row r="14" spans="2:37" ht="15.75" customHeight="1" thickBot="1" x14ac:dyDescent="0.55000000000000004">
      <c r="B14" s="1" t="s">
        <v>214</v>
      </c>
      <c r="C14" s="1">
        <v>1</v>
      </c>
      <c r="G14" s="1" t="s">
        <v>214</v>
      </c>
      <c r="H14" s="1">
        <v>2.6</v>
      </c>
      <c r="O14" s="3"/>
      <c r="P14" s="19"/>
      <c r="Q14" s="20"/>
      <c r="R14" s="20"/>
      <c r="S14" s="21">
        <f t="shared" si="0"/>
        <v>0</v>
      </c>
      <c r="T14" s="21">
        <f t="shared" si="1"/>
        <v>0</v>
      </c>
      <c r="U14" s="22">
        <f t="shared" si="2"/>
        <v>0</v>
      </c>
      <c r="V14" s="23"/>
      <c r="W14" s="20"/>
      <c r="X14" s="20"/>
      <c r="Y14" s="21">
        <f t="shared" si="3"/>
        <v>0</v>
      </c>
      <c r="Z14" s="21">
        <f t="shared" si="4"/>
        <v>0</v>
      </c>
      <c r="AA14" s="24">
        <f t="shared" si="5"/>
        <v>0</v>
      </c>
      <c r="AB14" s="19"/>
      <c r="AC14" s="20"/>
      <c r="AD14" s="21">
        <f t="shared" si="13"/>
        <v>0</v>
      </c>
      <c r="AE14" s="21">
        <f t="shared" si="6"/>
        <v>0</v>
      </c>
      <c r="AF14" s="22">
        <f t="shared" si="7"/>
        <v>0</v>
      </c>
      <c r="AG14" s="23"/>
      <c r="AH14" s="20"/>
      <c r="AI14" s="21">
        <f t="shared" si="12"/>
        <v>0</v>
      </c>
      <c r="AJ14" s="21">
        <f t="shared" si="9"/>
        <v>0</v>
      </c>
      <c r="AK14" s="22">
        <f t="shared" si="10"/>
        <v>0</v>
      </c>
    </row>
    <row r="15" spans="2:37" ht="15.75" customHeight="1" thickTop="1" x14ac:dyDescent="0.5">
      <c r="B15" s="1" t="s">
        <v>215</v>
      </c>
      <c r="C15" s="1">
        <v>0.3</v>
      </c>
      <c r="G15" s="1" t="s">
        <v>215</v>
      </c>
      <c r="H15" s="1">
        <v>0</v>
      </c>
    </row>
    <row r="16" spans="2:37" ht="15.75" customHeight="1" x14ac:dyDescent="0.5">
      <c r="G16" s="1" t="s">
        <v>216</v>
      </c>
      <c r="H16" s="15">
        <v>80</v>
      </c>
    </row>
    <row r="17" spans="2:11" ht="15.75" customHeight="1" x14ac:dyDescent="0.5">
      <c r="K17" s="1" t="s">
        <v>217</v>
      </c>
    </row>
    <row r="18" spans="2:11" ht="15.75" customHeight="1" x14ac:dyDescent="0.5">
      <c r="B18" s="18" t="s">
        <v>218</v>
      </c>
      <c r="E18" s="1" t="s">
        <v>201</v>
      </c>
      <c r="H18" s="1" t="s">
        <v>201</v>
      </c>
      <c r="J18" s="1" t="s">
        <v>219</v>
      </c>
      <c r="K18" s="1" t="s">
        <v>220</v>
      </c>
    </row>
    <row r="19" spans="2:11" ht="15.75" customHeight="1" x14ac:dyDescent="0.5">
      <c r="B19" s="1" t="s">
        <v>221</v>
      </c>
      <c r="C19" s="1">
        <f t="shared" ref="C19:D19" si="14">CEILING((C6*C8)/C9/C10*(C11/100)*(C12/100),1)</f>
        <v>61</v>
      </c>
      <c r="D19" s="1">
        <f t="shared" si="14"/>
        <v>28</v>
      </c>
      <c r="E19" s="25">
        <f t="shared" ref="E19:E20" si="15">SUM(C19:D19)</f>
        <v>89</v>
      </c>
      <c r="H19" s="25">
        <f>CEILING((H6*H8)/H9/H10*(H11/100)*(H12/100),1)</f>
        <v>28</v>
      </c>
      <c r="J19" s="1">
        <f t="shared" ref="J19:J20" si="16">E19+H19</f>
        <v>117</v>
      </c>
      <c r="K19" s="1">
        <f>CEILING((E19+H19*H16/100),1)</f>
        <v>112</v>
      </c>
    </row>
    <row r="20" spans="2:11" ht="15.75" customHeight="1" thickBot="1" x14ac:dyDescent="0.55000000000000004">
      <c r="B20" s="1" t="s">
        <v>222</v>
      </c>
      <c r="C20" s="1">
        <f>CEILING((C6*C14)*(C13/100)+(C6*C15)*(C13/100),1)</f>
        <v>9</v>
      </c>
      <c r="D20" s="1">
        <f>CEILING((D6*C14)*(C13/100)+(C6*C15)*(C13/100),1)</f>
        <v>9</v>
      </c>
      <c r="E20" s="25">
        <f t="shared" si="15"/>
        <v>18</v>
      </c>
      <c r="H20" s="25">
        <f>CEILING((H6*H14)*(H13/100)+(H6*H15)*(H13/100),1)</f>
        <v>17</v>
      </c>
      <c r="J20" s="1">
        <f t="shared" si="16"/>
        <v>35</v>
      </c>
      <c r="K20" s="1">
        <f>SUM(E20+H20)</f>
        <v>35</v>
      </c>
    </row>
    <row r="21" spans="2:11" ht="15.75" customHeight="1" thickBot="1" x14ac:dyDescent="0.55000000000000004">
      <c r="B21" s="1" t="s">
        <v>201</v>
      </c>
      <c r="E21" s="26">
        <f>SUM(E19:E20)</f>
        <v>107</v>
      </c>
      <c r="H21" s="26">
        <f>SUM(H19:H20)</f>
        <v>45</v>
      </c>
      <c r="J21" s="27">
        <f t="shared" ref="J21:K21" si="17">SUM(J19:J20)</f>
        <v>152</v>
      </c>
      <c r="K21" s="28">
        <f t="shared" si="17"/>
        <v>147</v>
      </c>
    </row>
    <row r="22" spans="2:11" ht="15.75" customHeight="1" x14ac:dyDescent="0.5"/>
    <row r="23" spans="2:11" ht="15.75" customHeight="1" x14ac:dyDescent="0.5">
      <c r="B23" s="18" t="s">
        <v>223</v>
      </c>
      <c r="E23" s="1" t="s">
        <v>201</v>
      </c>
      <c r="H23" s="1" t="s">
        <v>201</v>
      </c>
    </row>
    <row r="24" spans="2:11" ht="15.75" customHeight="1" x14ac:dyDescent="0.5">
      <c r="B24" s="1" t="s">
        <v>224</v>
      </c>
      <c r="C24" s="1">
        <f t="shared" ref="C24:D24" si="18">CEILING((C6*C8*0.2),1)</f>
        <v>40</v>
      </c>
      <c r="D24" s="1">
        <f t="shared" si="18"/>
        <v>40</v>
      </c>
      <c r="E24" s="25">
        <f t="shared" ref="E24:E25" si="19">SUM(C24:D24)</f>
        <v>80</v>
      </c>
      <c r="H24" s="25">
        <f>CEILING((H6*H8*0.2),1)</f>
        <v>24</v>
      </c>
      <c r="J24" s="1">
        <f t="shared" ref="J24:J25" si="20">E24+H24</f>
        <v>104</v>
      </c>
    </row>
    <row r="25" spans="2:11" ht="15.75" customHeight="1" thickBot="1" x14ac:dyDescent="0.55000000000000004">
      <c r="B25" s="1" t="s">
        <v>222</v>
      </c>
      <c r="C25" s="1">
        <f>CEILING((C14*C6*0.2+C15*C6*0.2),1)</f>
        <v>3</v>
      </c>
      <c r="D25" s="1">
        <f>CEILING((C14*D6*0.2+C15*D6*0.2),1)</f>
        <v>3</v>
      </c>
      <c r="E25" s="25">
        <f t="shared" si="19"/>
        <v>6</v>
      </c>
      <c r="H25" s="25">
        <f>CEILING((H6*H14*0.2+H15*H6*0.2),1)</f>
        <v>5</v>
      </c>
      <c r="J25" s="1">
        <f t="shared" si="20"/>
        <v>11</v>
      </c>
    </row>
    <row r="26" spans="2:11" ht="15.75" customHeight="1" thickBot="1" x14ac:dyDescent="0.55000000000000004">
      <c r="B26" s="1" t="s">
        <v>201</v>
      </c>
      <c r="E26" s="26">
        <f>SUM(E24:E25)</f>
        <v>86</v>
      </c>
      <c r="H26" s="26">
        <f>SUM(H24:H25)</f>
        <v>29</v>
      </c>
      <c r="J26" s="27">
        <f>SUM(J24:J25)</f>
        <v>115</v>
      </c>
    </row>
    <row r="27" spans="2:11" ht="15.75" customHeight="1" x14ac:dyDescent="0.5"/>
    <row r="28" spans="2:11" ht="15.75" customHeight="1" x14ac:dyDescent="0.5"/>
    <row r="29" spans="2:11" ht="15.75" customHeight="1" x14ac:dyDescent="0.5">
      <c r="B29" s="29" t="s">
        <v>225</v>
      </c>
      <c r="C29" s="29">
        <f t="shared" ref="C29:D29" si="21">CEILING(((C6*C8*4*C11/100*C12/100)/C9),1)</f>
        <v>482</v>
      </c>
      <c r="D29" s="29">
        <f t="shared" si="21"/>
        <v>434</v>
      </c>
      <c r="E29" s="29">
        <f t="shared" ref="E29:E30" si="22">SUM(C29:D29)</f>
        <v>916</v>
      </c>
      <c r="F29" s="29"/>
      <c r="G29" s="29" t="s">
        <v>225</v>
      </c>
      <c r="H29" s="29">
        <f>CEILING(((H6*H8*5*H11/100*H12/100)/H9),1)</f>
        <v>407</v>
      </c>
    </row>
    <row r="30" spans="2:11" ht="15.75" customHeight="1" x14ac:dyDescent="0.5">
      <c r="B30" s="1" t="s">
        <v>226</v>
      </c>
      <c r="C30" s="1">
        <f>CEILING(((C6*C14+C6*C15)*2*C13/100),1)</f>
        <v>17</v>
      </c>
      <c r="D30" s="1">
        <f>CEILING(((D6*C14+D6*C15)*2*C13/100),1)</f>
        <v>17</v>
      </c>
      <c r="E30" s="1">
        <f t="shared" si="22"/>
        <v>34</v>
      </c>
      <c r="G30" s="1" t="s">
        <v>226</v>
      </c>
      <c r="H30" s="1">
        <f>CEILING(((H6*H14+H6*H15)*3*H13/100),1)</f>
        <v>50</v>
      </c>
    </row>
    <row r="31" spans="2:11" ht="15.75" customHeight="1" x14ac:dyDescent="0.5">
      <c r="E31" s="1">
        <f>SUM(E29:E30)</f>
        <v>950</v>
      </c>
      <c r="H31" s="1">
        <f>SUM(H29:H30)</f>
        <v>457</v>
      </c>
    </row>
    <row r="32" spans="2:11" ht="15.75" customHeight="1" x14ac:dyDescent="0.5"/>
    <row r="33" ht="15.75" customHeight="1" x14ac:dyDescent="0.5"/>
    <row r="34" ht="15.75" customHeight="1" x14ac:dyDescent="0.5"/>
    <row r="35" ht="15.75" customHeight="1" x14ac:dyDescent="0.5"/>
    <row r="36" ht="15.75" customHeight="1" x14ac:dyDescent="0.5"/>
    <row r="37" ht="15.75" customHeight="1" x14ac:dyDescent="0.5"/>
    <row r="38" ht="15.75" customHeight="1" x14ac:dyDescent="0.5"/>
    <row r="39" ht="15.75" customHeight="1" x14ac:dyDescent="0.5"/>
    <row r="40" ht="15.75" customHeight="1" x14ac:dyDescent="0.5"/>
    <row r="41" ht="15.75" customHeight="1" x14ac:dyDescent="0.5"/>
    <row r="42" ht="15.75" customHeight="1" x14ac:dyDescent="0.5"/>
    <row r="43" ht="15.75" customHeight="1" x14ac:dyDescent="0.5"/>
    <row r="44" ht="15.75" customHeight="1" x14ac:dyDescent="0.5"/>
    <row r="45" ht="15.75" customHeight="1" x14ac:dyDescent="0.5"/>
    <row r="46" ht="15.75" customHeight="1" x14ac:dyDescent="0.5"/>
    <row r="47" ht="15.75" customHeight="1" x14ac:dyDescent="0.5"/>
    <row r="48" ht="15.75" customHeight="1" x14ac:dyDescent="0.5"/>
    <row r="49" ht="15.75" customHeight="1" x14ac:dyDescent="0.5"/>
    <row r="50" ht="15.75" customHeight="1" x14ac:dyDescent="0.5"/>
    <row r="51" ht="15.75" customHeight="1" x14ac:dyDescent="0.5"/>
    <row r="52" ht="15.75" customHeight="1" x14ac:dyDescent="0.5"/>
    <row r="53" ht="15.75" customHeight="1" x14ac:dyDescent="0.5"/>
    <row r="54" ht="15.75" customHeight="1" x14ac:dyDescent="0.5"/>
    <row r="55" ht="15.75" customHeight="1" x14ac:dyDescent="0.5"/>
    <row r="56" ht="15.75" customHeight="1" x14ac:dyDescent="0.5"/>
    <row r="57" ht="15.75" customHeight="1" x14ac:dyDescent="0.5"/>
    <row r="58" ht="15.75" customHeight="1" x14ac:dyDescent="0.5"/>
    <row r="59" ht="15.75" customHeight="1" x14ac:dyDescent="0.5"/>
    <row r="60" ht="15.75" customHeight="1" x14ac:dyDescent="0.5"/>
    <row r="61" ht="15.75" customHeight="1" x14ac:dyDescent="0.5"/>
    <row r="62" ht="15.75" customHeight="1" x14ac:dyDescent="0.5"/>
    <row r="63" ht="15.75" customHeight="1" x14ac:dyDescent="0.5"/>
    <row r="64" ht="15.75" customHeight="1" x14ac:dyDescent="0.5"/>
    <row r="65" ht="15.75" customHeight="1" x14ac:dyDescent="0.5"/>
    <row r="66" ht="15.75" customHeight="1" x14ac:dyDescent="0.5"/>
    <row r="67" ht="15.75" customHeight="1" x14ac:dyDescent="0.5"/>
    <row r="68" ht="15.75" customHeight="1" x14ac:dyDescent="0.5"/>
    <row r="69" ht="15.75" customHeight="1" x14ac:dyDescent="0.5"/>
    <row r="70" ht="15.75" customHeight="1" x14ac:dyDescent="0.5"/>
    <row r="71" ht="15.75" customHeight="1" x14ac:dyDescent="0.5"/>
    <row r="72" ht="15.75" customHeight="1" x14ac:dyDescent="0.5"/>
    <row r="73" ht="15.75" customHeight="1" x14ac:dyDescent="0.5"/>
    <row r="74" ht="15.75" customHeight="1" x14ac:dyDescent="0.5"/>
    <row r="75" ht="15.75" customHeight="1" x14ac:dyDescent="0.5"/>
    <row r="76" ht="15.75" customHeight="1" x14ac:dyDescent="0.5"/>
    <row r="77" ht="15.75" customHeight="1" x14ac:dyDescent="0.5"/>
    <row r="78" ht="15.75" customHeight="1" x14ac:dyDescent="0.5"/>
    <row r="79" ht="15.75" customHeight="1" x14ac:dyDescent="0.5"/>
    <row r="80" ht="15.75" customHeight="1" x14ac:dyDescent="0.5"/>
    <row r="81" ht="15.75" customHeight="1" x14ac:dyDescent="0.5"/>
    <row r="82" ht="15.75" customHeight="1" x14ac:dyDescent="0.5"/>
    <row r="83" ht="15.75" customHeight="1" x14ac:dyDescent="0.5"/>
    <row r="84" ht="15.75" customHeight="1" x14ac:dyDescent="0.5"/>
    <row r="85" ht="15.75" customHeight="1" x14ac:dyDescent="0.5"/>
    <row r="86" ht="15.75" customHeight="1" x14ac:dyDescent="0.5"/>
    <row r="87" ht="15.75" customHeight="1" x14ac:dyDescent="0.5"/>
    <row r="88" ht="15.75" customHeight="1" x14ac:dyDescent="0.5"/>
    <row r="89" ht="15.75" customHeight="1" x14ac:dyDescent="0.5"/>
    <row r="90" ht="15.75" customHeight="1" x14ac:dyDescent="0.5"/>
    <row r="91" ht="15.75" customHeight="1" x14ac:dyDescent="0.5"/>
    <row r="92" ht="15.75" customHeight="1" x14ac:dyDescent="0.5"/>
    <row r="93" ht="15.75" customHeight="1" x14ac:dyDescent="0.5"/>
    <row r="94" ht="15.75" customHeight="1" x14ac:dyDescent="0.5"/>
    <row r="95" ht="15.75" customHeight="1" x14ac:dyDescent="0.5"/>
    <row r="96" ht="15.75" customHeight="1" x14ac:dyDescent="0.5"/>
    <row r="97" ht="15.75" customHeight="1" x14ac:dyDescent="0.5"/>
    <row r="98" ht="15.75" customHeight="1" x14ac:dyDescent="0.5"/>
    <row r="99" ht="15.75" customHeight="1" x14ac:dyDescent="0.5"/>
    <row r="100" ht="15.75" customHeight="1" x14ac:dyDescent="0.5"/>
    <row r="101" ht="15.75" customHeight="1" x14ac:dyDescent="0.5"/>
    <row r="102" ht="15.75" customHeight="1" x14ac:dyDescent="0.5"/>
    <row r="103" ht="15.75" customHeight="1" x14ac:dyDescent="0.5"/>
    <row r="104" ht="15.75" customHeight="1" x14ac:dyDescent="0.5"/>
    <row r="105" ht="15.75" customHeight="1" x14ac:dyDescent="0.5"/>
    <row r="106" ht="15.75" customHeight="1" x14ac:dyDescent="0.5"/>
    <row r="107" ht="15.75" customHeight="1" x14ac:dyDescent="0.5"/>
    <row r="108" ht="15.75" customHeight="1" x14ac:dyDescent="0.5"/>
    <row r="109" ht="15.75" customHeight="1" x14ac:dyDescent="0.5"/>
    <row r="110" ht="15.75" customHeight="1" x14ac:dyDescent="0.5"/>
    <row r="111" ht="15.75" customHeight="1" x14ac:dyDescent="0.5"/>
    <row r="112" ht="15.75" customHeight="1" x14ac:dyDescent="0.5"/>
    <row r="113" ht="15.75" customHeight="1" x14ac:dyDescent="0.5"/>
    <row r="114" ht="15.75" customHeight="1" x14ac:dyDescent="0.5"/>
    <row r="115" ht="15.75" customHeight="1" x14ac:dyDescent="0.5"/>
    <row r="116" ht="15.75" customHeight="1" x14ac:dyDescent="0.5"/>
    <row r="117" ht="15.75" customHeight="1" x14ac:dyDescent="0.5"/>
    <row r="118" ht="15.75" customHeight="1" x14ac:dyDescent="0.5"/>
    <row r="119" ht="15.75" customHeight="1" x14ac:dyDescent="0.5"/>
    <row r="120" ht="15.75" customHeight="1" x14ac:dyDescent="0.5"/>
    <row r="121" ht="15.75" customHeight="1" x14ac:dyDescent="0.5"/>
    <row r="122" ht="15.75" customHeight="1" x14ac:dyDescent="0.5"/>
    <row r="123" ht="15.75" customHeight="1" x14ac:dyDescent="0.5"/>
    <row r="124" ht="15.75" customHeight="1" x14ac:dyDescent="0.5"/>
    <row r="125" ht="15.75" customHeight="1" x14ac:dyDescent="0.5"/>
    <row r="126" ht="15.75" customHeight="1" x14ac:dyDescent="0.5"/>
    <row r="127" ht="15.75" customHeight="1" x14ac:dyDescent="0.5"/>
    <row r="128" ht="15.75" customHeight="1" x14ac:dyDescent="0.5"/>
    <row r="129" ht="15.75" customHeight="1" x14ac:dyDescent="0.5"/>
    <row r="130" ht="15.75" customHeight="1" x14ac:dyDescent="0.5"/>
    <row r="131" ht="15.75" customHeight="1" x14ac:dyDescent="0.5"/>
    <row r="132" ht="15.75" customHeight="1" x14ac:dyDescent="0.5"/>
    <row r="133" ht="15.75" customHeight="1" x14ac:dyDescent="0.5"/>
    <row r="134" ht="15.75" customHeight="1" x14ac:dyDescent="0.5"/>
    <row r="135" ht="15.75" customHeight="1" x14ac:dyDescent="0.5"/>
    <row r="136" ht="15.75" customHeight="1" x14ac:dyDescent="0.5"/>
    <row r="137" ht="15.75" customHeight="1" x14ac:dyDescent="0.5"/>
    <row r="138" ht="15.75" customHeight="1" x14ac:dyDescent="0.5"/>
    <row r="139" ht="15.75" customHeight="1" x14ac:dyDescent="0.5"/>
    <row r="140" ht="15.75" customHeight="1" x14ac:dyDescent="0.5"/>
    <row r="141" ht="15.75" customHeight="1" x14ac:dyDescent="0.5"/>
    <row r="142" ht="15.75" customHeight="1" x14ac:dyDescent="0.5"/>
    <row r="143" ht="15.75" customHeight="1" x14ac:dyDescent="0.5"/>
    <row r="144" ht="15.75" customHeight="1" x14ac:dyDescent="0.5"/>
    <row r="145" ht="15.75" customHeight="1" x14ac:dyDescent="0.5"/>
    <row r="146" ht="15.75" customHeight="1" x14ac:dyDescent="0.5"/>
    <row r="147" ht="15.75" customHeight="1" x14ac:dyDescent="0.5"/>
    <row r="148" ht="15.75" customHeight="1" x14ac:dyDescent="0.5"/>
    <row r="149" ht="15.75" customHeight="1" x14ac:dyDescent="0.5"/>
    <row r="150" ht="15.75" customHeight="1" x14ac:dyDescent="0.5"/>
    <row r="151" ht="15.75" customHeight="1" x14ac:dyDescent="0.5"/>
    <row r="152" ht="15.75" customHeight="1" x14ac:dyDescent="0.5"/>
    <row r="153" ht="15.75" customHeight="1" x14ac:dyDescent="0.5"/>
    <row r="154" ht="15.75" customHeight="1" x14ac:dyDescent="0.5"/>
    <row r="155" ht="15.75" customHeight="1" x14ac:dyDescent="0.5"/>
    <row r="156" ht="15.75" customHeight="1" x14ac:dyDescent="0.5"/>
    <row r="157" ht="15.75" customHeight="1" x14ac:dyDescent="0.5"/>
    <row r="158" ht="15.75" customHeight="1" x14ac:dyDescent="0.5"/>
    <row r="159" ht="15.75" customHeight="1" x14ac:dyDescent="0.5"/>
    <row r="160" ht="15.75" customHeight="1" x14ac:dyDescent="0.5"/>
    <row r="161" ht="15.75" customHeight="1" x14ac:dyDescent="0.5"/>
    <row r="162" ht="15.75" customHeight="1" x14ac:dyDescent="0.5"/>
    <row r="163" ht="15.75" customHeight="1" x14ac:dyDescent="0.5"/>
    <row r="164" ht="15.75" customHeight="1" x14ac:dyDescent="0.5"/>
    <row r="165" ht="15.75" customHeight="1" x14ac:dyDescent="0.5"/>
    <row r="166" ht="15.75" customHeight="1" x14ac:dyDescent="0.5"/>
    <row r="167" ht="15.75" customHeight="1" x14ac:dyDescent="0.5"/>
    <row r="168" ht="15.75" customHeight="1" x14ac:dyDescent="0.5"/>
    <row r="169" ht="15.75" customHeight="1" x14ac:dyDescent="0.5"/>
    <row r="170" ht="15.75" customHeight="1" x14ac:dyDescent="0.5"/>
    <row r="171" ht="15.75" customHeight="1" x14ac:dyDescent="0.5"/>
    <row r="172" ht="15.75" customHeight="1" x14ac:dyDescent="0.5"/>
    <row r="173" ht="15.75" customHeight="1" x14ac:dyDescent="0.5"/>
    <row r="174" ht="15.75" customHeight="1" x14ac:dyDescent="0.5"/>
    <row r="175" ht="15.75" customHeight="1" x14ac:dyDescent="0.5"/>
    <row r="176" ht="15.75" customHeight="1" x14ac:dyDescent="0.5"/>
    <row r="177" ht="15.75" customHeight="1" x14ac:dyDescent="0.5"/>
    <row r="178" ht="15.75" customHeight="1" x14ac:dyDescent="0.5"/>
    <row r="179" ht="15.75" customHeight="1" x14ac:dyDescent="0.5"/>
    <row r="180" ht="15.75" customHeight="1" x14ac:dyDescent="0.5"/>
    <row r="181" ht="15.75" customHeight="1" x14ac:dyDescent="0.5"/>
    <row r="182" ht="15.75" customHeight="1" x14ac:dyDescent="0.5"/>
    <row r="183" ht="15.75" customHeight="1" x14ac:dyDescent="0.5"/>
    <row r="184" ht="15.75" customHeight="1" x14ac:dyDescent="0.5"/>
    <row r="185" ht="15.75" customHeight="1" x14ac:dyDescent="0.5"/>
    <row r="186" ht="15.75" customHeight="1" x14ac:dyDescent="0.5"/>
    <row r="187" ht="15.75" customHeight="1" x14ac:dyDescent="0.5"/>
    <row r="188" ht="15.75" customHeight="1" x14ac:dyDescent="0.5"/>
    <row r="189" ht="15.75" customHeight="1" x14ac:dyDescent="0.5"/>
    <row r="190" ht="15.75" customHeight="1" x14ac:dyDescent="0.5"/>
    <row r="191" ht="15.75" customHeight="1" x14ac:dyDescent="0.5"/>
    <row r="192" ht="15.75" customHeight="1" x14ac:dyDescent="0.5"/>
    <row r="193" ht="15.75" customHeight="1" x14ac:dyDescent="0.5"/>
    <row r="194" ht="15.75" customHeight="1" x14ac:dyDescent="0.5"/>
    <row r="195" ht="15.75" customHeight="1" x14ac:dyDescent="0.5"/>
    <row r="196" ht="15.75" customHeight="1" x14ac:dyDescent="0.5"/>
    <row r="197" ht="15.75" customHeight="1" x14ac:dyDescent="0.5"/>
    <row r="198" ht="15.75" customHeight="1" x14ac:dyDescent="0.5"/>
    <row r="199" ht="15.75" customHeight="1" x14ac:dyDescent="0.5"/>
    <row r="200" ht="15.75" customHeight="1" x14ac:dyDescent="0.5"/>
    <row r="201" ht="15.75" customHeight="1" x14ac:dyDescent="0.5"/>
    <row r="202" ht="15.75" customHeight="1" x14ac:dyDescent="0.5"/>
    <row r="203" ht="15.75" customHeight="1" x14ac:dyDescent="0.5"/>
    <row r="204" ht="15.75" customHeight="1" x14ac:dyDescent="0.5"/>
    <row r="205" ht="15.75" customHeight="1" x14ac:dyDescent="0.5"/>
    <row r="206" ht="15.75" customHeight="1" x14ac:dyDescent="0.5"/>
    <row r="207" ht="15.75" customHeight="1" x14ac:dyDescent="0.5"/>
    <row r="208" ht="15.75" customHeight="1" x14ac:dyDescent="0.5"/>
    <row r="209" ht="15.75" customHeight="1" x14ac:dyDescent="0.5"/>
    <row r="210" ht="15.75" customHeight="1" x14ac:dyDescent="0.5"/>
    <row r="211" ht="15.75" customHeight="1" x14ac:dyDescent="0.5"/>
    <row r="212" ht="15.75" customHeight="1" x14ac:dyDescent="0.5"/>
    <row r="213" ht="15.75" customHeight="1" x14ac:dyDescent="0.5"/>
    <row r="214" ht="15.75" customHeight="1" x14ac:dyDescent="0.5"/>
    <row r="215" ht="15.75" customHeight="1" x14ac:dyDescent="0.5"/>
    <row r="216" ht="15.75" customHeight="1" x14ac:dyDescent="0.5"/>
    <row r="217" ht="15.75" customHeight="1" x14ac:dyDescent="0.5"/>
    <row r="218" ht="15.75" customHeight="1" x14ac:dyDescent="0.5"/>
    <row r="219" ht="15.75" customHeight="1" x14ac:dyDescent="0.5"/>
    <row r="220" ht="15.75" customHeight="1" x14ac:dyDescent="0.5"/>
    <row r="221" ht="15.75" customHeight="1" x14ac:dyDescent="0.5"/>
    <row r="222" ht="15.75" customHeight="1" x14ac:dyDescent="0.5"/>
    <row r="223" ht="15.75" customHeight="1" x14ac:dyDescent="0.5"/>
    <row r="224" ht="15.75" customHeight="1" x14ac:dyDescent="0.5"/>
    <row r="225" ht="15.75" customHeight="1" x14ac:dyDescent="0.5"/>
    <row r="226" ht="15.75" customHeight="1" x14ac:dyDescent="0.5"/>
    <row r="227" ht="15.75" customHeight="1" x14ac:dyDescent="0.5"/>
    <row r="228" ht="15.75" customHeight="1" x14ac:dyDescent="0.5"/>
    <row r="229" ht="15.75" customHeight="1" x14ac:dyDescent="0.5"/>
    <row r="230" ht="15.75" customHeight="1" x14ac:dyDescent="0.5"/>
    <row r="231" ht="15.75" customHeight="1" x14ac:dyDescent="0.5"/>
    <row r="232" ht="15.75" customHeight="1" x14ac:dyDescent="0.5"/>
    <row r="233" ht="15.75" customHeight="1" x14ac:dyDescent="0.5"/>
    <row r="234" ht="15.75" customHeight="1" x14ac:dyDescent="0.5"/>
    <row r="235" ht="15.75" customHeight="1" x14ac:dyDescent="0.5"/>
    <row r="236" ht="15.75" customHeight="1" x14ac:dyDescent="0.5"/>
    <row r="237" ht="15.75" customHeight="1" x14ac:dyDescent="0.5"/>
    <row r="238" ht="15.75" customHeight="1" x14ac:dyDescent="0.5"/>
    <row r="239" ht="15.75" customHeight="1" x14ac:dyDescent="0.5"/>
    <row r="240" ht="15.75" customHeight="1" x14ac:dyDescent="0.5"/>
    <row r="241" ht="15.75" customHeight="1" x14ac:dyDescent="0.5"/>
    <row r="242" ht="15.75" customHeight="1" x14ac:dyDescent="0.5"/>
    <row r="243" ht="15.75" customHeight="1" x14ac:dyDescent="0.5"/>
    <row r="244" ht="15.75" customHeight="1" x14ac:dyDescent="0.5"/>
    <row r="245" ht="15.75" customHeight="1" x14ac:dyDescent="0.5"/>
    <row r="246" ht="15.75" customHeight="1" x14ac:dyDescent="0.5"/>
    <row r="247" ht="15.75" customHeight="1" x14ac:dyDescent="0.5"/>
    <row r="248" ht="15.75" customHeight="1" x14ac:dyDescent="0.5"/>
    <row r="249" ht="15.75" customHeight="1" x14ac:dyDescent="0.5"/>
    <row r="250" ht="15.75" customHeight="1" x14ac:dyDescent="0.5"/>
    <row r="251" ht="15.75" customHeight="1" x14ac:dyDescent="0.5"/>
    <row r="252" ht="15.75" customHeight="1" x14ac:dyDescent="0.5"/>
    <row r="253" ht="15.75" customHeight="1" x14ac:dyDescent="0.5"/>
    <row r="254" ht="15.75" customHeight="1" x14ac:dyDescent="0.5"/>
    <row r="255" ht="15.75" customHeight="1" x14ac:dyDescent="0.5"/>
    <row r="256" ht="15.75" customHeight="1" x14ac:dyDescent="0.5"/>
    <row r="257" ht="15.75" customHeight="1" x14ac:dyDescent="0.5"/>
    <row r="258" ht="15.75" customHeight="1" x14ac:dyDescent="0.5"/>
    <row r="259" ht="15.75" customHeight="1" x14ac:dyDescent="0.5"/>
    <row r="260" ht="15.75" customHeight="1" x14ac:dyDescent="0.5"/>
    <row r="261" ht="15.75" customHeight="1" x14ac:dyDescent="0.5"/>
    <row r="262" ht="15.75" customHeight="1" x14ac:dyDescent="0.5"/>
    <row r="263" ht="15.75" customHeight="1" x14ac:dyDescent="0.5"/>
    <row r="264" ht="15.75" customHeight="1" x14ac:dyDescent="0.5"/>
    <row r="265" ht="15.75" customHeight="1" x14ac:dyDescent="0.5"/>
    <row r="266" ht="15.75" customHeight="1" x14ac:dyDescent="0.5"/>
    <row r="267" ht="15.75" customHeight="1" x14ac:dyDescent="0.5"/>
    <row r="268" ht="15.75" customHeight="1" x14ac:dyDescent="0.5"/>
    <row r="269" ht="15.75" customHeight="1" x14ac:dyDescent="0.5"/>
    <row r="270" ht="15.75" customHeight="1" x14ac:dyDescent="0.5"/>
    <row r="271" ht="15.75" customHeight="1" x14ac:dyDescent="0.5"/>
    <row r="272" ht="15.75" customHeight="1" x14ac:dyDescent="0.5"/>
    <row r="273" ht="15.75" customHeight="1" x14ac:dyDescent="0.5"/>
    <row r="274" ht="15.75" customHeight="1" x14ac:dyDescent="0.5"/>
    <row r="275" ht="15.75" customHeight="1" x14ac:dyDescent="0.5"/>
    <row r="276" ht="15.75" customHeight="1" x14ac:dyDescent="0.5"/>
    <row r="277" ht="15.75" customHeight="1" x14ac:dyDescent="0.5"/>
    <row r="278" ht="15.75" customHeight="1" x14ac:dyDescent="0.5"/>
    <row r="279" ht="15.75" customHeight="1" x14ac:dyDescent="0.5"/>
    <row r="280" ht="15.75" customHeight="1" x14ac:dyDescent="0.5"/>
    <row r="281" ht="15.75" customHeight="1" x14ac:dyDescent="0.5"/>
    <row r="282" ht="15.75" customHeight="1" x14ac:dyDescent="0.5"/>
    <row r="283" ht="15.75" customHeight="1" x14ac:dyDescent="0.5"/>
    <row r="284" ht="15.75" customHeight="1" x14ac:dyDescent="0.5"/>
    <row r="285" ht="15.75" customHeight="1" x14ac:dyDescent="0.5"/>
    <row r="286" ht="15.75" customHeight="1" x14ac:dyDescent="0.5"/>
    <row r="287" ht="15.75" customHeight="1" x14ac:dyDescent="0.5"/>
    <row r="288" ht="15.75" customHeight="1" x14ac:dyDescent="0.5"/>
    <row r="289" ht="15.75" customHeight="1" x14ac:dyDescent="0.5"/>
    <row r="290" ht="15.75" customHeight="1" x14ac:dyDescent="0.5"/>
    <row r="291" ht="15.75" customHeight="1" x14ac:dyDescent="0.5"/>
    <row r="292" ht="15.75" customHeight="1" x14ac:dyDescent="0.5"/>
    <row r="293" ht="15.75" customHeight="1" x14ac:dyDescent="0.5"/>
    <row r="294" ht="15.75" customHeight="1" x14ac:dyDescent="0.5"/>
    <row r="295" ht="15.75" customHeight="1" x14ac:dyDescent="0.5"/>
    <row r="296" ht="15.75" customHeight="1" x14ac:dyDescent="0.5"/>
    <row r="297" ht="15.75" customHeight="1" x14ac:dyDescent="0.5"/>
    <row r="298" ht="15.75" customHeight="1" x14ac:dyDescent="0.5"/>
    <row r="299" ht="15.75" customHeight="1" x14ac:dyDescent="0.5"/>
    <row r="300" ht="15.75" customHeight="1" x14ac:dyDescent="0.5"/>
    <row r="301" ht="15.75" customHeight="1" x14ac:dyDescent="0.5"/>
    <row r="302" ht="15.75" customHeight="1" x14ac:dyDescent="0.5"/>
    <row r="303" ht="15.75" customHeight="1" x14ac:dyDescent="0.5"/>
    <row r="304" ht="15.75" customHeight="1" x14ac:dyDescent="0.5"/>
    <row r="305" ht="15.75" customHeight="1" x14ac:dyDescent="0.5"/>
    <row r="306" ht="15.75" customHeight="1" x14ac:dyDescent="0.5"/>
    <row r="307" ht="15.75" customHeight="1" x14ac:dyDescent="0.5"/>
    <row r="308" ht="15.75" customHeight="1" x14ac:dyDescent="0.5"/>
    <row r="309" ht="15.75" customHeight="1" x14ac:dyDescent="0.5"/>
    <row r="310" ht="15.75" customHeight="1" x14ac:dyDescent="0.5"/>
    <row r="311" ht="15.75" customHeight="1" x14ac:dyDescent="0.5"/>
    <row r="312" ht="15.75" customHeight="1" x14ac:dyDescent="0.5"/>
    <row r="313" ht="15.75" customHeight="1" x14ac:dyDescent="0.5"/>
    <row r="314" ht="15.75" customHeight="1" x14ac:dyDescent="0.5"/>
    <row r="315" ht="15.75" customHeight="1" x14ac:dyDescent="0.5"/>
    <row r="316" ht="15.75" customHeight="1" x14ac:dyDescent="0.5"/>
    <row r="317" ht="15.75" customHeight="1" x14ac:dyDescent="0.5"/>
    <row r="318" ht="15.75" customHeight="1" x14ac:dyDescent="0.5"/>
    <row r="319" ht="15.75" customHeight="1" x14ac:dyDescent="0.5"/>
    <row r="320" ht="15.75" customHeight="1" x14ac:dyDescent="0.5"/>
    <row r="321" ht="15.75" customHeight="1" x14ac:dyDescent="0.5"/>
    <row r="322" ht="15.75" customHeight="1" x14ac:dyDescent="0.5"/>
    <row r="323" ht="15.75" customHeight="1" x14ac:dyDescent="0.5"/>
    <row r="324" ht="15.75" customHeight="1" x14ac:dyDescent="0.5"/>
    <row r="325" ht="15.75" customHeight="1" x14ac:dyDescent="0.5"/>
    <row r="326" ht="15.75" customHeight="1" x14ac:dyDescent="0.5"/>
    <row r="327" ht="15.75" customHeight="1" x14ac:dyDescent="0.5"/>
    <row r="328" ht="15.75" customHeight="1" x14ac:dyDescent="0.5"/>
    <row r="329" ht="15.75" customHeight="1" x14ac:dyDescent="0.5"/>
    <row r="330" ht="15.75" customHeight="1" x14ac:dyDescent="0.5"/>
    <row r="331" ht="15.75" customHeight="1" x14ac:dyDescent="0.5"/>
    <row r="332" ht="15.75" customHeight="1" x14ac:dyDescent="0.5"/>
    <row r="333" ht="15.75" customHeight="1" x14ac:dyDescent="0.5"/>
    <row r="334" ht="15.75" customHeight="1" x14ac:dyDescent="0.5"/>
    <row r="335" ht="15.75" customHeight="1" x14ac:dyDescent="0.5"/>
    <row r="336" ht="15.75" customHeight="1" x14ac:dyDescent="0.5"/>
    <row r="337" ht="15.75" customHeight="1" x14ac:dyDescent="0.5"/>
    <row r="338" ht="15.75" customHeight="1" x14ac:dyDescent="0.5"/>
    <row r="339" ht="15.75" customHeight="1" x14ac:dyDescent="0.5"/>
    <row r="340" ht="15.75" customHeight="1" x14ac:dyDescent="0.5"/>
    <row r="341" ht="15.75" customHeight="1" x14ac:dyDescent="0.5"/>
    <row r="342" ht="15.75" customHeight="1" x14ac:dyDescent="0.5"/>
    <row r="343" ht="15.75" customHeight="1" x14ac:dyDescent="0.5"/>
    <row r="344" ht="15.75" customHeight="1" x14ac:dyDescent="0.5"/>
    <row r="345" ht="15.75" customHeight="1" x14ac:dyDescent="0.5"/>
    <row r="346" ht="15.75" customHeight="1" x14ac:dyDescent="0.5"/>
    <row r="347" ht="15.75" customHeight="1" x14ac:dyDescent="0.5"/>
    <row r="348" ht="15.75" customHeight="1" x14ac:dyDescent="0.5"/>
    <row r="349" ht="15.75" customHeight="1" x14ac:dyDescent="0.5"/>
    <row r="350" ht="15.75" customHeight="1" x14ac:dyDescent="0.5"/>
    <row r="351" ht="15.75" customHeight="1" x14ac:dyDescent="0.5"/>
    <row r="352" ht="15.75" customHeight="1" x14ac:dyDescent="0.5"/>
    <row r="353" ht="15.75" customHeight="1" x14ac:dyDescent="0.5"/>
    <row r="354" ht="15.75" customHeight="1" x14ac:dyDescent="0.5"/>
    <row r="355" ht="15.75" customHeight="1" x14ac:dyDescent="0.5"/>
    <row r="356" ht="15.75" customHeight="1" x14ac:dyDescent="0.5"/>
    <row r="357" ht="15.75" customHeight="1" x14ac:dyDescent="0.5"/>
    <row r="358" ht="15.75" customHeight="1" x14ac:dyDescent="0.5"/>
    <row r="359" ht="15.75" customHeight="1" x14ac:dyDescent="0.5"/>
    <row r="360" ht="15.75" customHeight="1" x14ac:dyDescent="0.5"/>
    <row r="361" ht="15.75" customHeight="1" x14ac:dyDescent="0.5"/>
    <row r="362" ht="15.75" customHeight="1" x14ac:dyDescent="0.5"/>
    <row r="363" ht="15.75" customHeight="1" x14ac:dyDescent="0.5"/>
    <row r="364" ht="15.75" customHeight="1" x14ac:dyDescent="0.5"/>
    <row r="365" ht="15.75" customHeight="1" x14ac:dyDescent="0.5"/>
    <row r="366" ht="15.75" customHeight="1" x14ac:dyDescent="0.5"/>
    <row r="367" ht="15.75" customHeight="1" x14ac:dyDescent="0.5"/>
    <row r="368" ht="15.75" customHeight="1" x14ac:dyDescent="0.5"/>
    <row r="369" ht="15.75" customHeight="1" x14ac:dyDescent="0.5"/>
    <row r="370" ht="15.75" customHeight="1" x14ac:dyDescent="0.5"/>
    <row r="371" ht="15.75" customHeight="1" x14ac:dyDescent="0.5"/>
    <row r="372" ht="15.75" customHeight="1" x14ac:dyDescent="0.5"/>
    <row r="373" ht="15.75" customHeight="1" x14ac:dyDescent="0.5"/>
    <row r="374" ht="15.75" customHeight="1" x14ac:dyDescent="0.5"/>
    <row r="375" ht="15.75" customHeight="1" x14ac:dyDescent="0.5"/>
    <row r="376" ht="15.75" customHeight="1" x14ac:dyDescent="0.5"/>
    <row r="377" ht="15.75" customHeight="1" x14ac:dyDescent="0.5"/>
    <row r="378" ht="15.75" customHeight="1" x14ac:dyDescent="0.5"/>
    <row r="379" ht="15.75" customHeight="1" x14ac:dyDescent="0.5"/>
    <row r="380" ht="15.75" customHeight="1" x14ac:dyDescent="0.5"/>
    <row r="381" ht="15.75" customHeight="1" x14ac:dyDescent="0.5"/>
    <row r="382" ht="15.75" customHeight="1" x14ac:dyDescent="0.5"/>
    <row r="383" ht="15.75" customHeight="1" x14ac:dyDescent="0.5"/>
    <row r="384" ht="15.75" customHeight="1" x14ac:dyDescent="0.5"/>
    <row r="385" ht="15.75" customHeight="1" x14ac:dyDescent="0.5"/>
    <row r="386" ht="15.75" customHeight="1" x14ac:dyDescent="0.5"/>
    <row r="387" ht="15.75" customHeight="1" x14ac:dyDescent="0.5"/>
    <row r="388" ht="15.75" customHeight="1" x14ac:dyDescent="0.5"/>
    <row r="389" ht="15.75" customHeight="1" x14ac:dyDescent="0.5"/>
    <row r="390" ht="15.75" customHeight="1" x14ac:dyDescent="0.5"/>
    <row r="391" ht="15.75" customHeight="1" x14ac:dyDescent="0.5"/>
    <row r="392" ht="15.75" customHeight="1" x14ac:dyDescent="0.5"/>
    <row r="393" ht="15.75" customHeight="1" x14ac:dyDescent="0.5"/>
    <row r="394" ht="15.75" customHeight="1" x14ac:dyDescent="0.5"/>
    <row r="395" ht="15.75" customHeight="1" x14ac:dyDescent="0.5"/>
    <row r="396" ht="15.75" customHeight="1" x14ac:dyDescent="0.5"/>
    <row r="397" ht="15.75" customHeight="1" x14ac:dyDescent="0.5"/>
    <row r="398" ht="15.75" customHeight="1" x14ac:dyDescent="0.5"/>
    <row r="399" ht="15.75" customHeight="1" x14ac:dyDescent="0.5"/>
    <row r="400" ht="15.75" customHeight="1" x14ac:dyDescent="0.5"/>
    <row r="401" ht="15.75" customHeight="1" x14ac:dyDescent="0.5"/>
    <row r="402" ht="15.75" customHeight="1" x14ac:dyDescent="0.5"/>
    <row r="403" ht="15.75" customHeight="1" x14ac:dyDescent="0.5"/>
    <row r="404" ht="15.75" customHeight="1" x14ac:dyDescent="0.5"/>
    <row r="405" ht="15.75" customHeight="1" x14ac:dyDescent="0.5"/>
    <row r="406" ht="15.75" customHeight="1" x14ac:dyDescent="0.5"/>
    <row r="407" ht="15.75" customHeight="1" x14ac:dyDescent="0.5"/>
    <row r="408" ht="15.75" customHeight="1" x14ac:dyDescent="0.5"/>
    <row r="409" ht="15.75" customHeight="1" x14ac:dyDescent="0.5"/>
    <row r="410" ht="15.75" customHeight="1" x14ac:dyDescent="0.5"/>
    <row r="411" ht="15.75" customHeight="1" x14ac:dyDescent="0.5"/>
    <row r="412" ht="15.75" customHeight="1" x14ac:dyDescent="0.5"/>
    <row r="413" ht="15.75" customHeight="1" x14ac:dyDescent="0.5"/>
    <row r="414" ht="15.75" customHeight="1" x14ac:dyDescent="0.5"/>
    <row r="415" ht="15.75" customHeight="1" x14ac:dyDescent="0.5"/>
    <row r="416" ht="15.75" customHeight="1" x14ac:dyDescent="0.5"/>
    <row r="417" ht="15.75" customHeight="1" x14ac:dyDescent="0.5"/>
    <row r="418" ht="15.75" customHeight="1" x14ac:dyDescent="0.5"/>
    <row r="419" ht="15.75" customHeight="1" x14ac:dyDescent="0.5"/>
    <row r="420" ht="15.75" customHeight="1" x14ac:dyDescent="0.5"/>
    <row r="421" ht="15.75" customHeight="1" x14ac:dyDescent="0.5"/>
    <row r="422" ht="15.75" customHeight="1" x14ac:dyDescent="0.5"/>
    <row r="423" ht="15.75" customHeight="1" x14ac:dyDescent="0.5"/>
    <row r="424" ht="15.75" customHeight="1" x14ac:dyDescent="0.5"/>
    <row r="425" ht="15.75" customHeight="1" x14ac:dyDescent="0.5"/>
    <row r="426" ht="15.75" customHeight="1" x14ac:dyDescent="0.5"/>
    <row r="427" ht="15.75" customHeight="1" x14ac:dyDescent="0.5"/>
    <row r="428" ht="15.75" customHeight="1" x14ac:dyDescent="0.5"/>
    <row r="429" ht="15.75" customHeight="1" x14ac:dyDescent="0.5"/>
    <row r="430" ht="15.75" customHeight="1" x14ac:dyDescent="0.5"/>
    <row r="431" ht="15.75" customHeight="1" x14ac:dyDescent="0.5"/>
    <row r="432" ht="15.75" customHeight="1" x14ac:dyDescent="0.5"/>
    <row r="433" ht="15.75" customHeight="1" x14ac:dyDescent="0.5"/>
    <row r="434" ht="15.75" customHeight="1" x14ac:dyDescent="0.5"/>
    <row r="435" ht="15.75" customHeight="1" x14ac:dyDescent="0.5"/>
    <row r="436" ht="15.75" customHeight="1" x14ac:dyDescent="0.5"/>
    <row r="437" ht="15.75" customHeight="1" x14ac:dyDescent="0.5"/>
    <row r="438" ht="15.75" customHeight="1" x14ac:dyDescent="0.5"/>
    <row r="439" ht="15.75" customHeight="1" x14ac:dyDescent="0.5"/>
    <row r="440" ht="15.75" customHeight="1" x14ac:dyDescent="0.5"/>
    <row r="441" ht="15.75" customHeight="1" x14ac:dyDescent="0.5"/>
    <row r="442" ht="15.75" customHeight="1" x14ac:dyDescent="0.5"/>
    <row r="443" ht="15.75" customHeight="1" x14ac:dyDescent="0.5"/>
    <row r="444" ht="15.75" customHeight="1" x14ac:dyDescent="0.5"/>
    <row r="445" ht="15.75" customHeight="1" x14ac:dyDescent="0.5"/>
    <row r="446" ht="15.75" customHeight="1" x14ac:dyDescent="0.5"/>
    <row r="447" ht="15.75" customHeight="1" x14ac:dyDescent="0.5"/>
    <row r="448" ht="15.75" customHeight="1" x14ac:dyDescent="0.5"/>
    <row r="449" ht="15.75" customHeight="1" x14ac:dyDescent="0.5"/>
    <row r="450" ht="15.75" customHeight="1" x14ac:dyDescent="0.5"/>
    <row r="451" ht="15.75" customHeight="1" x14ac:dyDescent="0.5"/>
    <row r="452" ht="15.75" customHeight="1" x14ac:dyDescent="0.5"/>
    <row r="453" ht="15.75" customHeight="1" x14ac:dyDescent="0.5"/>
    <row r="454" ht="15.75" customHeight="1" x14ac:dyDescent="0.5"/>
    <row r="455" ht="15.75" customHeight="1" x14ac:dyDescent="0.5"/>
    <row r="456" ht="15.75" customHeight="1" x14ac:dyDescent="0.5"/>
    <row r="457" ht="15.75" customHeight="1" x14ac:dyDescent="0.5"/>
    <row r="458" ht="15.75" customHeight="1" x14ac:dyDescent="0.5"/>
    <row r="459" ht="15.75" customHeight="1" x14ac:dyDescent="0.5"/>
    <row r="460" ht="15.75" customHeight="1" x14ac:dyDescent="0.5"/>
    <row r="461" ht="15.75" customHeight="1" x14ac:dyDescent="0.5"/>
    <row r="462" ht="15.75" customHeight="1" x14ac:dyDescent="0.5"/>
    <row r="463" ht="15.75" customHeight="1" x14ac:dyDescent="0.5"/>
    <row r="464" ht="15.75" customHeight="1" x14ac:dyDescent="0.5"/>
    <row r="465" ht="15.75" customHeight="1" x14ac:dyDescent="0.5"/>
    <row r="466" ht="15.75" customHeight="1" x14ac:dyDescent="0.5"/>
    <row r="467" ht="15.75" customHeight="1" x14ac:dyDescent="0.5"/>
    <row r="468" ht="15.75" customHeight="1" x14ac:dyDescent="0.5"/>
    <row r="469" ht="15.75" customHeight="1" x14ac:dyDescent="0.5"/>
    <row r="470" ht="15.75" customHeight="1" x14ac:dyDescent="0.5"/>
    <row r="471" ht="15.75" customHeight="1" x14ac:dyDescent="0.5"/>
    <row r="472" ht="15.75" customHeight="1" x14ac:dyDescent="0.5"/>
    <row r="473" ht="15.75" customHeight="1" x14ac:dyDescent="0.5"/>
    <row r="474" ht="15.75" customHeight="1" x14ac:dyDescent="0.5"/>
    <row r="475" ht="15.75" customHeight="1" x14ac:dyDescent="0.5"/>
    <row r="476" ht="15.75" customHeight="1" x14ac:dyDescent="0.5"/>
    <row r="477" ht="15.75" customHeight="1" x14ac:dyDescent="0.5"/>
    <row r="478" ht="15.75" customHeight="1" x14ac:dyDescent="0.5"/>
    <row r="479" ht="15.75" customHeight="1" x14ac:dyDescent="0.5"/>
    <row r="480" ht="15.75" customHeight="1" x14ac:dyDescent="0.5"/>
    <row r="481" ht="15.75" customHeight="1" x14ac:dyDescent="0.5"/>
    <row r="482" ht="15.75" customHeight="1" x14ac:dyDescent="0.5"/>
    <row r="483" ht="15.75" customHeight="1" x14ac:dyDescent="0.5"/>
    <row r="484" ht="15.75" customHeight="1" x14ac:dyDescent="0.5"/>
    <row r="485" ht="15.75" customHeight="1" x14ac:dyDescent="0.5"/>
    <row r="486" ht="15.75" customHeight="1" x14ac:dyDescent="0.5"/>
    <row r="487" ht="15.75" customHeight="1" x14ac:dyDescent="0.5"/>
    <row r="488" ht="15.75" customHeight="1" x14ac:dyDescent="0.5"/>
    <row r="489" ht="15.75" customHeight="1" x14ac:dyDescent="0.5"/>
    <row r="490" ht="15.75" customHeight="1" x14ac:dyDescent="0.5"/>
    <row r="491" ht="15.75" customHeight="1" x14ac:dyDescent="0.5"/>
    <row r="492" ht="15.75" customHeight="1" x14ac:dyDescent="0.5"/>
    <row r="493" ht="15.75" customHeight="1" x14ac:dyDescent="0.5"/>
    <row r="494" ht="15.75" customHeight="1" x14ac:dyDescent="0.5"/>
    <row r="495" ht="15.75" customHeight="1" x14ac:dyDescent="0.5"/>
    <row r="496" ht="15.75" customHeight="1" x14ac:dyDescent="0.5"/>
    <row r="497" ht="15.75" customHeight="1" x14ac:dyDescent="0.5"/>
    <row r="498" ht="15.75" customHeight="1" x14ac:dyDescent="0.5"/>
    <row r="499" ht="15.75" customHeight="1" x14ac:dyDescent="0.5"/>
    <row r="500" ht="15.75" customHeight="1" x14ac:dyDescent="0.5"/>
    <row r="501" ht="15.75" customHeight="1" x14ac:dyDescent="0.5"/>
    <row r="502" ht="15.75" customHeight="1" x14ac:dyDescent="0.5"/>
    <row r="503" ht="15.75" customHeight="1" x14ac:dyDescent="0.5"/>
    <row r="504" ht="15.75" customHeight="1" x14ac:dyDescent="0.5"/>
    <row r="505" ht="15.75" customHeight="1" x14ac:dyDescent="0.5"/>
    <row r="506" ht="15.75" customHeight="1" x14ac:dyDescent="0.5"/>
    <row r="507" ht="15.75" customHeight="1" x14ac:dyDescent="0.5"/>
    <row r="508" ht="15.75" customHeight="1" x14ac:dyDescent="0.5"/>
    <row r="509" ht="15.75" customHeight="1" x14ac:dyDescent="0.5"/>
    <row r="510" ht="15.75" customHeight="1" x14ac:dyDescent="0.5"/>
    <row r="511" ht="15.75" customHeight="1" x14ac:dyDescent="0.5"/>
    <row r="512" ht="15.75" customHeight="1" x14ac:dyDescent="0.5"/>
    <row r="513" ht="15.75" customHeight="1" x14ac:dyDescent="0.5"/>
    <row r="514" ht="15.75" customHeight="1" x14ac:dyDescent="0.5"/>
    <row r="515" ht="15.75" customHeight="1" x14ac:dyDescent="0.5"/>
    <row r="516" ht="15.75" customHeight="1" x14ac:dyDescent="0.5"/>
    <row r="517" ht="15.75" customHeight="1" x14ac:dyDescent="0.5"/>
    <row r="518" ht="15.75" customHeight="1" x14ac:dyDescent="0.5"/>
    <row r="519" ht="15.75" customHeight="1" x14ac:dyDescent="0.5"/>
    <row r="520" ht="15.75" customHeight="1" x14ac:dyDescent="0.5"/>
    <row r="521" ht="15.75" customHeight="1" x14ac:dyDescent="0.5"/>
    <row r="522" ht="15.75" customHeight="1" x14ac:dyDescent="0.5"/>
    <row r="523" ht="15.75" customHeight="1" x14ac:dyDescent="0.5"/>
    <row r="524" ht="15.75" customHeight="1" x14ac:dyDescent="0.5"/>
    <row r="525" ht="15.75" customHeight="1" x14ac:dyDescent="0.5"/>
    <row r="526" ht="15.75" customHeight="1" x14ac:dyDescent="0.5"/>
    <row r="527" ht="15.75" customHeight="1" x14ac:dyDescent="0.5"/>
    <row r="528" ht="15.75" customHeight="1" x14ac:dyDescent="0.5"/>
    <row r="529" ht="15.75" customHeight="1" x14ac:dyDescent="0.5"/>
    <row r="530" ht="15.75" customHeight="1" x14ac:dyDescent="0.5"/>
    <row r="531" ht="15.75" customHeight="1" x14ac:dyDescent="0.5"/>
    <row r="532" ht="15.75" customHeight="1" x14ac:dyDescent="0.5"/>
    <row r="533" ht="15.75" customHeight="1" x14ac:dyDescent="0.5"/>
    <row r="534" ht="15.75" customHeight="1" x14ac:dyDescent="0.5"/>
    <row r="535" ht="15.75" customHeight="1" x14ac:dyDescent="0.5"/>
    <row r="536" ht="15.75" customHeight="1" x14ac:dyDescent="0.5"/>
    <row r="537" ht="15.75" customHeight="1" x14ac:dyDescent="0.5"/>
    <row r="538" ht="15.75" customHeight="1" x14ac:dyDescent="0.5"/>
    <row r="539" ht="15.75" customHeight="1" x14ac:dyDescent="0.5"/>
    <row r="540" ht="15.75" customHeight="1" x14ac:dyDescent="0.5"/>
    <row r="541" ht="15.75" customHeight="1" x14ac:dyDescent="0.5"/>
    <row r="542" ht="15.75" customHeight="1" x14ac:dyDescent="0.5"/>
    <row r="543" ht="15.75" customHeight="1" x14ac:dyDescent="0.5"/>
    <row r="544" ht="15.75" customHeight="1" x14ac:dyDescent="0.5"/>
    <row r="545" ht="15.75" customHeight="1" x14ac:dyDescent="0.5"/>
    <row r="546" ht="15.75" customHeight="1" x14ac:dyDescent="0.5"/>
    <row r="547" ht="15.75" customHeight="1" x14ac:dyDescent="0.5"/>
    <row r="548" ht="15.75" customHeight="1" x14ac:dyDescent="0.5"/>
    <row r="549" ht="15.75" customHeight="1" x14ac:dyDescent="0.5"/>
    <row r="550" ht="15.75" customHeight="1" x14ac:dyDescent="0.5"/>
    <row r="551" ht="15.75" customHeight="1" x14ac:dyDescent="0.5"/>
    <row r="552" ht="15.75" customHeight="1" x14ac:dyDescent="0.5"/>
    <row r="553" ht="15.75" customHeight="1" x14ac:dyDescent="0.5"/>
    <row r="554" ht="15.75" customHeight="1" x14ac:dyDescent="0.5"/>
    <row r="555" ht="15.75" customHeight="1" x14ac:dyDescent="0.5"/>
    <row r="556" ht="15.75" customHeight="1" x14ac:dyDescent="0.5"/>
    <row r="557" ht="15.75" customHeight="1" x14ac:dyDescent="0.5"/>
    <row r="558" ht="15.75" customHeight="1" x14ac:dyDescent="0.5"/>
    <row r="559" ht="15.75" customHeight="1" x14ac:dyDescent="0.5"/>
    <row r="560" ht="15.75" customHeight="1" x14ac:dyDescent="0.5"/>
    <row r="561" ht="15.75" customHeight="1" x14ac:dyDescent="0.5"/>
    <row r="562" ht="15.75" customHeight="1" x14ac:dyDescent="0.5"/>
    <row r="563" ht="15.75" customHeight="1" x14ac:dyDescent="0.5"/>
    <row r="564" ht="15.75" customHeight="1" x14ac:dyDescent="0.5"/>
    <row r="565" ht="15.75" customHeight="1" x14ac:dyDescent="0.5"/>
    <row r="566" ht="15.75" customHeight="1" x14ac:dyDescent="0.5"/>
    <row r="567" ht="15.75" customHeight="1" x14ac:dyDescent="0.5"/>
    <row r="568" ht="15.75" customHeight="1" x14ac:dyDescent="0.5"/>
    <row r="569" ht="15.75" customHeight="1" x14ac:dyDescent="0.5"/>
    <row r="570" ht="15.75" customHeight="1" x14ac:dyDescent="0.5"/>
    <row r="571" ht="15.75" customHeight="1" x14ac:dyDescent="0.5"/>
    <row r="572" ht="15.75" customHeight="1" x14ac:dyDescent="0.5"/>
    <row r="573" ht="15.75" customHeight="1" x14ac:dyDescent="0.5"/>
    <row r="574" ht="15.75" customHeight="1" x14ac:dyDescent="0.5"/>
    <row r="575" ht="15.75" customHeight="1" x14ac:dyDescent="0.5"/>
    <row r="576" ht="15.75" customHeight="1" x14ac:dyDescent="0.5"/>
    <row r="577" ht="15.75" customHeight="1" x14ac:dyDescent="0.5"/>
    <row r="578" ht="15.75" customHeight="1" x14ac:dyDescent="0.5"/>
    <row r="579" ht="15.75" customHeight="1" x14ac:dyDescent="0.5"/>
    <row r="580" ht="15.75" customHeight="1" x14ac:dyDescent="0.5"/>
    <row r="581" ht="15.75" customHeight="1" x14ac:dyDescent="0.5"/>
    <row r="582" ht="15.75" customHeight="1" x14ac:dyDescent="0.5"/>
    <row r="583" ht="15.75" customHeight="1" x14ac:dyDescent="0.5"/>
    <row r="584" ht="15.75" customHeight="1" x14ac:dyDescent="0.5"/>
    <row r="585" ht="15.75" customHeight="1" x14ac:dyDescent="0.5"/>
    <row r="586" ht="15.75" customHeight="1" x14ac:dyDescent="0.5"/>
    <row r="587" ht="15.75" customHeight="1" x14ac:dyDescent="0.5"/>
    <row r="588" ht="15.75" customHeight="1" x14ac:dyDescent="0.5"/>
    <row r="589" ht="15.75" customHeight="1" x14ac:dyDescent="0.5"/>
    <row r="590" ht="15.75" customHeight="1" x14ac:dyDescent="0.5"/>
    <row r="591" ht="15.75" customHeight="1" x14ac:dyDescent="0.5"/>
    <row r="592" ht="15.75" customHeight="1" x14ac:dyDescent="0.5"/>
    <row r="593" ht="15.75" customHeight="1" x14ac:dyDescent="0.5"/>
    <row r="594" ht="15.75" customHeight="1" x14ac:dyDescent="0.5"/>
    <row r="595" ht="15.75" customHeight="1" x14ac:dyDescent="0.5"/>
    <row r="596" ht="15.75" customHeight="1" x14ac:dyDescent="0.5"/>
    <row r="597" ht="15.75" customHeight="1" x14ac:dyDescent="0.5"/>
    <row r="598" ht="15.75" customHeight="1" x14ac:dyDescent="0.5"/>
    <row r="599" ht="15.75" customHeight="1" x14ac:dyDescent="0.5"/>
    <row r="600" ht="15.75" customHeight="1" x14ac:dyDescent="0.5"/>
    <row r="601" ht="15.75" customHeight="1" x14ac:dyDescent="0.5"/>
    <row r="602" ht="15.75" customHeight="1" x14ac:dyDescent="0.5"/>
    <row r="603" ht="15.75" customHeight="1" x14ac:dyDescent="0.5"/>
    <row r="604" ht="15.75" customHeight="1" x14ac:dyDescent="0.5"/>
    <row r="605" ht="15.75" customHeight="1" x14ac:dyDescent="0.5"/>
    <row r="606" ht="15.75" customHeight="1" x14ac:dyDescent="0.5"/>
    <row r="607" ht="15.75" customHeight="1" x14ac:dyDescent="0.5"/>
    <row r="608" ht="15.75" customHeight="1" x14ac:dyDescent="0.5"/>
    <row r="609" ht="15.75" customHeight="1" x14ac:dyDescent="0.5"/>
    <row r="610" ht="15.75" customHeight="1" x14ac:dyDescent="0.5"/>
    <row r="611" ht="15.75" customHeight="1" x14ac:dyDescent="0.5"/>
    <row r="612" ht="15.75" customHeight="1" x14ac:dyDescent="0.5"/>
    <row r="613" ht="15.75" customHeight="1" x14ac:dyDescent="0.5"/>
    <row r="614" ht="15.75" customHeight="1" x14ac:dyDescent="0.5"/>
    <row r="615" ht="15.75" customHeight="1" x14ac:dyDescent="0.5"/>
    <row r="616" ht="15.75" customHeight="1" x14ac:dyDescent="0.5"/>
    <row r="617" ht="15.75" customHeight="1" x14ac:dyDescent="0.5"/>
    <row r="618" ht="15.75" customHeight="1" x14ac:dyDescent="0.5"/>
    <row r="619" ht="15.75" customHeight="1" x14ac:dyDescent="0.5"/>
    <row r="620" ht="15.75" customHeight="1" x14ac:dyDescent="0.5"/>
    <row r="621" ht="15.75" customHeight="1" x14ac:dyDescent="0.5"/>
    <row r="622" ht="15.75" customHeight="1" x14ac:dyDescent="0.5"/>
    <row r="623" ht="15.75" customHeight="1" x14ac:dyDescent="0.5"/>
    <row r="624" ht="15.75" customHeight="1" x14ac:dyDescent="0.5"/>
    <row r="625" ht="15.75" customHeight="1" x14ac:dyDescent="0.5"/>
    <row r="626" ht="15.75" customHeight="1" x14ac:dyDescent="0.5"/>
    <row r="627" ht="15.75" customHeight="1" x14ac:dyDescent="0.5"/>
    <row r="628" ht="15.75" customHeight="1" x14ac:dyDescent="0.5"/>
    <row r="629" ht="15.75" customHeight="1" x14ac:dyDescent="0.5"/>
    <row r="630" ht="15.75" customHeight="1" x14ac:dyDescent="0.5"/>
    <row r="631" ht="15.75" customHeight="1" x14ac:dyDescent="0.5"/>
    <row r="632" ht="15.75" customHeight="1" x14ac:dyDescent="0.5"/>
    <row r="633" ht="15.75" customHeight="1" x14ac:dyDescent="0.5"/>
    <row r="634" ht="15.75" customHeight="1" x14ac:dyDescent="0.5"/>
    <row r="635" ht="15.75" customHeight="1" x14ac:dyDescent="0.5"/>
    <row r="636" ht="15.75" customHeight="1" x14ac:dyDescent="0.5"/>
    <row r="637" ht="15.75" customHeight="1" x14ac:dyDescent="0.5"/>
    <row r="638" ht="15.75" customHeight="1" x14ac:dyDescent="0.5"/>
    <row r="639" ht="15.75" customHeight="1" x14ac:dyDescent="0.5"/>
    <row r="640" ht="15.75" customHeight="1" x14ac:dyDescent="0.5"/>
    <row r="641" ht="15.75" customHeight="1" x14ac:dyDescent="0.5"/>
    <row r="642" ht="15.75" customHeight="1" x14ac:dyDescent="0.5"/>
    <row r="643" ht="15.75" customHeight="1" x14ac:dyDescent="0.5"/>
    <row r="644" ht="15.75" customHeight="1" x14ac:dyDescent="0.5"/>
    <row r="645" ht="15.75" customHeight="1" x14ac:dyDescent="0.5"/>
    <row r="646" ht="15.75" customHeight="1" x14ac:dyDescent="0.5"/>
    <row r="647" ht="15.75" customHeight="1" x14ac:dyDescent="0.5"/>
    <row r="648" ht="15.75" customHeight="1" x14ac:dyDescent="0.5"/>
    <row r="649" ht="15.75" customHeight="1" x14ac:dyDescent="0.5"/>
    <row r="650" ht="15.75" customHeight="1" x14ac:dyDescent="0.5"/>
    <row r="651" ht="15.75" customHeight="1" x14ac:dyDescent="0.5"/>
    <row r="652" ht="15.75" customHeight="1" x14ac:dyDescent="0.5"/>
    <row r="653" ht="15.75" customHeight="1" x14ac:dyDescent="0.5"/>
    <row r="654" ht="15.75" customHeight="1" x14ac:dyDescent="0.5"/>
    <row r="655" ht="15.75" customHeight="1" x14ac:dyDescent="0.5"/>
    <row r="656" ht="15.75" customHeight="1" x14ac:dyDescent="0.5"/>
    <row r="657" ht="15.75" customHeight="1" x14ac:dyDescent="0.5"/>
    <row r="658" ht="15.75" customHeight="1" x14ac:dyDescent="0.5"/>
    <row r="659" ht="15.75" customHeight="1" x14ac:dyDescent="0.5"/>
    <row r="660" ht="15.75" customHeight="1" x14ac:dyDescent="0.5"/>
    <row r="661" ht="15.75" customHeight="1" x14ac:dyDescent="0.5"/>
    <row r="662" ht="15.75" customHeight="1" x14ac:dyDescent="0.5"/>
    <row r="663" ht="15.75" customHeight="1" x14ac:dyDescent="0.5"/>
    <row r="664" ht="15.75" customHeight="1" x14ac:dyDescent="0.5"/>
    <row r="665" ht="15.75" customHeight="1" x14ac:dyDescent="0.5"/>
    <row r="666" ht="15.75" customHeight="1" x14ac:dyDescent="0.5"/>
    <row r="667" ht="15.75" customHeight="1" x14ac:dyDescent="0.5"/>
    <row r="668" ht="15.75" customHeight="1" x14ac:dyDescent="0.5"/>
    <row r="669" ht="15.75" customHeight="1" x14ac:dyDescent="0.5"/>
    <row r="670" ht="15.75" customHeight="1" x14ac:dyDescent="0.5"/>
    <row r="671" ht="15.75" customHeight="1" x14ac:dyDescent="0.5"/>
    <row r="672" ht="15.75" customHeight="1" x14ac:dyDescent="0.5"/>
    <row r="673" ht="15.75" customHeight="1" x14ac:dyDescent="0.5"/>
    <row r="674" ht="15.75" customHeight="1" x14ac:dyDescent="0.5"/>
    <row r="675" ht="15.75" customHeight="1" x14ac:dyDescent="0.5"/>
    <row r="676" ht="15.75" customHeight="1" x14ac:dyDescent="0.5"/>
    <row r="677" ht="15.75" customHeight="1" x14ac:dyDescent="0.5"/>
    <row r="678" ht="15.75" customHeight="1" x14ac:dyDescent="0.5"/>
    <row r="679" ht="15.75" customHeight="1" x14ac:dyDescent="0.5"/>
    <row r="680" ht="15.75" customHeight="1" x14ac:dyDescent="0.5"/>
    <row r="681" ht="15.75" customHeight="1" x14ac:dyDescent="0.5"/>
    <row r="682" ht="15.75" customHeight="1" x14ac:dyDescent="0.5"/>
    <row r="683" ht="15.75" customHeight="1" x14ac:dyDescent="0.5"/>
    <row r="684" ht="15.75" customHeight="1" x14ac:dyDescent="0.5"/>
    <row r="685" ht="15.75" customHeight="1" x14ac:dyDescent="0.5"/>
    <row r="686" ht="15.75" customHeight="1" x14ac:dyDescent="0.5"/>
    <row r="687" ht="15.75" customHeight="1" x14ac:dyDescent="0.5"/>
    <row r="688" ht="15.75" customHeight="1" x14ac:dyDescent="0.5"/>
    <row r="689" ht="15.75" customHeight="1" x14ac:dyDescent="0.5"/>
    <row r="690" ht="15.75" customHeight="1" x14ac:dyDescent="0.5"/>
    <row r="691" ht="15.75" customHeight="1" x14ac:dyDescent="0.5"/>
    <row r="692" ht="15.75" customHeight="1" x14ac:dyDescent="0.5"/>
    <row r="693" ht="15.75" customHeight="1" x14ac:dyDescent="0.5"/>
    <row r="694" ht="15.75" customHeight="1" x14ac:dyDescent="0.5"/>
    <row r="695" ht="15.75" customHeight="1" x14ac:dyDescent="0.5"/>
    <row r="696" ht="15.75" customHeight="1" x14ac:dyDescent="0.5"/>
    <row r="697" ht="15.75" customHeight="1" x14ac:dyDescent="0.5"/>
    <row r="698" ht="15.75" customHeight="1" x14ac:dyDescent="0.5"/>
    <row r="699" ht="15.75" customHeight="1" x14ac:dyDescent="0.5"/>
    <row r="700" ht="15.75" customHeight="1" x14ac:dyDescent="0.5"/>
    <row r="701" ht="15.75" customHeight="1" x14ac:dyDescent="0.5"/>
    <row r="702" ht="15.75" customHeight="1" x14ac:dyDescent="0.5"/>
    <row r="703" ht="15.75" customHeight="1" x14ac:dyDescent="0.5"/>
    <row r="704" ht="15.75" customHeight="1" x14ac:dyDescent="0.5"/>
    <row r="705" ht="15.75" customHeight="1" x14ac:dyDescent="0.5"/>
    <row r="706" ht="15.75" customHeight="1" x14ac:dyDescent="0.5"/>
    <row r="707" ht="15.75" customHeight="1" x14ac:dyDescent="0.5"/>
    <row r="708" ht="15.75" customHeight="1" x14ac:dyDescent="0.5"/>
    <row r="709" ht="15.75" customHeight="1" x14ac:dyDescent="0.5"/>
    <row r="710" ht="15.75" customHeight="1" x14ac:dyDescent="0.5"/>
    <row r="711" ht="15.75" customHeight="1" x14ac:dyDescent="0.5"/>
    <row r="712" ht="15.75" customHeight="1" x14ac:dyDescent="0.5"/>
    <row r="713" ht="15.75" customHeight="1" x14ac:dyDescent="0.5"/>
    <row r="714" ht="15.75" customHeight="1" x14ac:dyDescent="0.5"/>
    <row r="715" ht="15.75" customHeight="1" x14ac:dyDescent="0.5"/>
    <row r="716" ht="15.75" customHeight="1" x14ac:dyDescent="0.5"/>
    <row r="717" ht="15.75" customHeight="1" x14ac:dyDescent="0.5"/>
    <row r="718" ht="15.75" customHeight="1" x14ac:dyDescent="0.5"/>
    <row r="719" ht="15.75" customHeight="1" x14ac:dyDescent="0.5"/>
    <row r="720" ht="15.75" customHeight="1" x14ac:dyDescent="0.5"/>
    <row r="721" ht="15.75" customHeight="1" x14ac:dyDescent="0.5"/>
    <row r="722" ht="15.75" customHeight="1" x14ac:dyDescent="0.5"/>
    <row r="723" ht="15.75" customHeight="1" x14ac:dyDescent="0.5"/>
    <row r="724" ht="15.75" customHeight="1" x14ac:dyDescent="0.5"/>
    <row r="725" ht="15.75" customHeight="1" x14ac:dyDescent="0.5"/>
    <row r="726" ht="15.75" customHeight="1" x14ac:dyDescent="0.5"/>
    <row r="727" ht="15.75" customHeight="1" x14ac:dyDescent="0.5"/>
    <row r="728" ht="15.75" customHeight="1" x14ac:dyDescent="0.5"/>
    <row r="729" ht="15.75" customHeight="1" x14ac:dyDescent="0.5"/>
    <row r="730" ht="15.75" customHeight="1" x14ac:dyDescent="0.5"/>
    <row r="731" ht="15.75" customHeight="1" x14ac:dyDescent="0.5"/>
    <row r="732" ht="15.75" customHeight="1" x14ac:dyDescent="0.5"/>
    <row r="733" ht="15.75" customHeight="1" x14ac:dyDescent="0.5"/>
    <row r="734" ht="15.75" customHeight="1" x14ac:dyDescent="0.5"/>
    <row r="735" ht="15.75" customHeight="1" x14ac:dyDescent="0.5"/>
    <row r="736" ht="15.75" customHeight="1" x14ac:dyDescent="0.5"/>
    <row r="737" ht="15.75" customHeight="1" x14ac:dyDescent="0.5"/>
    <row r="738" ht="15.75" customHeight="1" x14ac:dyDescent="0.5"/>
    <row r="739" ht="15.75" customHeight="1" x14ac:dyDescent="0.5"/>
    <row r="740" ht="15.75" customHeight="1" x14ac:dyDescent="0.5"/>
    <row r="741" ht="15.75" customHeight="1" x14ac:dyDescent="0.5"/>
    <row r="742" ht="15.75" customHeight="1" x14ac:dyDescent="0.5"/>
    <row r="743" ht="15.75" customHeight="1" x14ac:dyDescent="0.5"/>
    <row r="744" ht="15.75" customHeight="1" x14ac:dyDescent="0.5"/>
    <row r="745" ht="15.75" customHeight="1" x14ac:dyDescent="0.5"/>
    <row r="746" ht="15.75" customHeight="1" x14ac:dyDescent="0.5"/>
    <row r="747" ht="15.75" customHeight="1" x14ac:dyDescent="0.5"/>
    <row r="748" ht="15.75" customHeight="1" x14ac:dyDescent="0.5"/>
    <row r="749" ht="15.75" customHeight="1" x14ac:dyDescent="0.5"/>
    <row r="750" ht="15.75" customHeight="1" x14ac:dyDescent="0.5"/>
    <row r="751" ht="15.75" customHeight="1" x14ac:dyDescent="0.5"/>
    <row r="752" ht="15.75" customHeight="1" x14ac:dyDescent="0.5"/>
    <row r="753" ht="15.75" customHeight="1" x14ac:dyDescent="0.5"/>
    <row r="754" ht="15.75" customHeight="1" x14ac:dyDescent="0.5"/>
    <row r="755" ht="15.75" customHeight="1" x14ac:dyDescent="0.5"/>
    <row r="756" ht="15.75" customHeight="1" x14ac:dyDescent="0.5"/>
    <row r="757" ht="15.75" customHeight="1" x14ac:dyDescent="0.5"/>
    <row r="758" ht="15.75" customHeight="1" x14ac:dyDescent="0.5"/>
    <row r="759" ht="15.75" customHeight="1" x14ac:dyDescent="0.5"/>
    <row r="760" ht="15.75" customHeight="1" x14ac:dyDescent="0.5"/>
    <row r="761" ht="15.75" customHeight="1" x14ac:dyDescent="0.5"/>
    <row r="762" ht="15.75" customHeight="1" x14ac:dyDescent="0.5"/>
    <row r="763" ht="15.75" customHeight="1" x14ac:dyDescent="0.5"/>
    <row r="764" ht="15.75" customHeight="1" x14ac:dyDescent="0.5"/>
    <row r="765" ht="15.75" customHeight="1" x14ac:dyDescent="0.5"/>
    <row r="766" ht="15.75" customHeight="1" x14ac:dyDescent="0.5"/>
    <row r="767" ht="15.75" customHeight="1" x14ac:dyDescent="0.5"/>
    <row r="768" ht="15.75" customHeight="1" x14ac:dyDescent="0.5"/>
    <row r="769" ht="15.75" customHeight="1" x14ac:dyDescent="0.5"/>
    <row r="770" ht="15.75" customHeight="1" x14ac:dyDescent="0.5"/>
    <row r="771" ht="15.75" customHeight="1" x14ac:dyDescent="0.5"/>
    <row r="772" ht="15.75" customHeight="1" x14ac:dyDescent="0.5"/>
    <row r="773" ht="15.75" customHeight="1" x14ac:dyDescent="0.5"/>
    <row r="774" ht="15.75" customHeight="1" x14ac:dyDescent="0.5"/>
    <row r="775" ht="15.75" customHeight="1" x14ac:dyDescent="0.5"/>
    <row r="776" ht="15.75" customHeight="1" x14ac:dyDescent="0.5"/>
    <row r="777" ht="15.75" customHeight="1" x14ac:dyDescent="0.5"/>
    <row r="778" ht="15.75" customHeight="1" x14ac:dyDescent="0.5"/>
    <row r="779" ht="15.75" customHeight="1" x14ac:dyDescent="0.5"/>
    <row r="780" ht="15.75" customHeight="1" x14ac:dyDescent="0.5"/>
    <row r="781" ht="15.75" customHeight="1" x14ac:dyDescent="0.5"/>
    <row r="782" ht="15.75" customHeight="1" x14ac:dyDescent="0.5"/>
    <row r="783" ht="15.75" customHeight="1" x14ac:dyDescent="0.5"/>
    <row r="784" ht="15.75" customHeight="1" x14ac:dyDescent="0.5"/>
    <row r="785" ht="15.75" customHeight="1" x14ac:dyDescent="0.5"/>
    <row r="786" ht="15.75" customHeight="1" x14ac:dyDescent="0.5"/>
    <row r="787" ht="15.75" customHeight="1" x14ac:dyDescent="0.5"/>
    <row r="788" ht="15.75" customHeight="1" x14ac:dyDescent="0.5"/>
    <row r="789" ht="15.75" customHeight="1" x14ac:dyDescent="0.5"/>
    <row r="790" ht="15.75" customHeight="1" x14ac:dyDescent="0.5"/>
    <row r="791" ht="15.75" customHeight="1" x14ac:dyDescent="0.5"/>
    <row r="792" ht="15.75" customHeight="1" x14ac:dyDescent="0.5"/>
    <row r="793" ht="15.75" customHeight="1" x14ac:dyDescent="0.5"/>
    <row r="794" ht="15.75" customHeight="1" x14ac:dyDescent="0.5"/>
    <row r="795" ht="15.75" customHeight="1" x14ac:dyDescent="0.5"/>
    <row r="796" ht="15.75" customHeight="1" x14ac:dyDescent="0.5"/>
    <row r="797" ht="15.75" customHeight="1" x14ac:dyDescent="0.5"/>
    <row r="798" ht="15.75" customHeight="1" x14ac:dyDescent="0.5"/>
    <row r="799" ht="15.75" customHeight="1" x14ac:dyDescent="0.5"/>
    <row r="800" ht="15.75" customHeight="1" x14ac:dyDescent="0.5"/>
    <row r="801" ht="15.75" customHeight="1" x14ac:dyDescent="0.5"/>
    <row r="802" ht="15.75" customHeight="1" x14ac:dyDescent="0.5"/>
    <row r="803" ht="15.75" customHeight="1" x14ac:dyDescent="0.5"/>
    <row r="804" ht="15.75" customHeight="1" x14ac:dyDescent="0.5"/>
    <row r="805" ht="15.75" customHeight="1" x14ac:dyDescent="0.5"/>
    <row r="806" ht="15.75" customHeight="1" x14ac:dyDescent="0.5"/>
    <row r="807" ht="15.75" customHeight="1" x14ac:dyDescent="0.5"/>
    <row r="808" ht="15.75" customHeight="1" x14ac:dyDescent="0.5"/>
    <row r="809" ht="15.75" customHeight="1" x14ac:dyDescent="0.5"/>
    <row r="810" ht="15.75" customHeight="1" x14ac:dyDescent="0.5"/>
    <row r="811" ht="15.75" customHeight="1" x14ac:dyDescent="0.5"/>
    <row r="812" ht="15.75" customHeight="1" x14ac:dyDescent="0.5"/>
    <row r="813" ht="15.75" customHeight="1" x14ac:dyDescent="0.5"/>
    <row r="814" ht="15.75" customHeight="1" x14ac:dyDescent="0.5"/>
    <row r="815" ht="15.75" customHeight="1" x14ac:dyDescent="0.5"/>
    <row r="816" ht="15.75" customHeight="1" x14ac:dyDescent="0.5"/>
    <row r="817" ht="15.75" customHeight="1" x14ac:dyDescent="0.5"/>
    <row r="818" ht="15.75" customHeight="1" x14ac:dyDescent="0.5"/>
    <row r="819" ht="15.75" customHeight="1" x14ac:dyDescent="0.5"/>
    <row r="820" ht="15.75" customHeight="1" x14ac:dyDescent="0.5"/>
    <row r="821" ht="15.75" customHeight="1" x14ac:dyDescent="0.5"/>
    <row r="822" ht="15.75" customHeight="1" x14ac:dyDescent="0.5"/>
    <row r="823" ht="15.75" customHeight="1" x14ac:dyDescent="0.5"/>
    <row r="824" ht="15.75" customHeight="1" x14ac:dyDescent="0.5"/>
    <row r="825" ht="15.75" customHeight="1" x14ac:dyDescent="0.5"/>
    <row r="826" ht="15.75" customHeight="1" x14ac:dyDescent="0.5"/>
    <row r="827" ht="15.75" customHeight="1" x14ac:dyDescent="0.5"/>
    <row r="828" ht="15.75" customHeight="1" x14ac:dyDescent="0.5"/>
    <row r="829" ht="15.75" customHeight="1" x14ac:dyDescent="0.5"/>
    <row r="830" ht="15.75" customHeight="1" x14ac:dyDescent="0.5"/>
    <row r="831" ht="15.75" customHeight="1" x14ac:dyDescent="0.5"/>
    <row r="832" ht="15.75" customHeight="1" x14ac:dyDescent="0.5"/>
    <row r="833" ht="15.75" customHeight="1" x14ac:dyDescent="0.5"/>
    <row r="834" ht="15.75" customHeight="1" x14ac:dyDescent="0.5"/>
    <row r="835" ht="15.75" customHeight="1" x14ac:dyDescent="0.5"/>
    <row r="836" ht="15.75" customHeight="1" x14ac:dyDescent="0.5"/>
    <row r="837" ht="15.75" customHeight="1" x14ac:dyDescent="0.5"/>
    <row r="838" ht="15.75" customHeight="1" x14ac:dyDescent="0.5"/>
    <row r="839" ht="15.75" customHeight="1" x14ac:dyDescent="0.5"/>
    <row r="840" ht="15.75" customHeight="1" x14ac:dyDescent="0.5"/>
    <row r="841" ht="15.75" customHeight="1" x14ac:dyDescent="0.5"/>
    <row r="842" ht="15.75" customHeight="1" x14ac:dyDescent="0.5"/>
    <row r="843" ht="15.75" customHeight="1" x14ac:dyDescent="0.5"/>
    <row r="844" ht="15.75" customHeight="1" x14ac:dyDescent="0.5"/>
    <row r="845" ht="15.75" customHeight="1" x14ac:dyDescent="0.5"/>
    <row r="846" ht="15.75" customHeight="1" x14ac:dyDescent="0.5"/>
    <row r="847" ht="15.75" customHeight="1" x14ac:dyDescent="0.5"/>
    <row r="848" ht="15.75" customHeight="1" x14ac:dyDescent="0.5"/>
    <row r="849" ht="15.75" customHeight="1" x14ac:dyDescent="0.5"/>
    <row r="850" ht="15.75" customHeight="1" x14ac:dyDescent="0.5"/>
    <row r="851" ht="15.75" customHeight="1" x14ac:dyDescent="0.5"/>
    <row r="852" ht="15.75" customHeight="1" x14ac:dyDescent="0.5"/>
    <row r="853" ht="15.75" customHeight="1" x14ac:dyDescent="0.5"/>
    <row r="854" ht="15.75" customHeight="1" x14ac:dyDescent="0.5"/>
    <row r="855" ht="15.75" customHeight="1" x14ac:dyDescent="0.5"/>
    <row r="856" ht="15.75" customHeight="1" x14ac:dyDescent="0.5"/>
    <row r="857" ht="15.75" customHeight="1" x14ac:dyDescent="0.5"/>
    <row r="858" ht="15.75" customHeight="1" x14ac:dyDescent="0.5"/>
    <row r="859" ht="15.75" customHeight="1" x14ac:dyDescent="0.5"/>
    <row r="860" ht="15.75" customHeight="1" x14ac:dyDescent="0.5"/>
    <row r="861" ht="15.75" customHeight="1" x14ac:dyDescent="0.5"/>
    <row r="862" ht="15.75" customHeight="1" x14ac:dyDescent="0.5"/>
    <row r="863" ht="15.75" customHeight="1" x14ac:dyDescent="0.5"/>
    <row r="864" ht="15.75" customHeight="1" x14ac:dyDescent="0.5"/>
    <row r="865" ht="15.75" customHeight="1" x14ac:dyDescent="0.5"/>
    <row r="866" ht="15.75" customHeight="1" x14ac:dyDescent="0.5"/>
    <row r="867" ht="15.75" customHeight="1" x14ac:dyDescent="0.5"/>
    <row r="868" ht="15.75" customHeight="1" x14ac:dyDescent="0.5"/>
    <row r="869" ht="15.75" customHeight="1" x14ac:dyDescent="0.5"/>
    <row r="870" ht="15.75" customHeight="1" x14ac:dyDescent="0.5"/>
    <row r="871" ht="15.75" customHeight="1" x14ac:dyDescent="0.5"/>
    <row r="872" ht="15.75" customHeight="1" x14ac:dyDescent="0.5"/>
    <row r="873" ht="15.75" customHeight="1" x14ac:dyDescent="0.5"/>
    <row r="874" ht="15.75" customHeight="1" x14ac:dyDescent="0.5"/>
    <row r="875" ht="15.75" customHeight="1" x14ac:dyDescent="0.5"/>
    <row r="876" ht="15.75" customHeight="1" x14ac:dyDescent="0.5"/>
    <row r="877" ht="15.75" customHeight="1" x14ac:dyDescent="0.5"/>
    <row r="878" ht="15.75" customHeight="1" x14ac:dyDescent="0.5"/>
    <row r="879" ht="15.75" customHeight="1" x14ac:dyDescent="0.5"/>
    <row r="880" ht="15.75" customHeight="1" x14ac:dyDescent="0.5"/>
    <row r="881" ht="15.75" customHeight="1" x14ac:dyDescent="0.5"/>
    <row r="882" ht="15.75" customHeight="1" x14ac:dyDescent="0.5"/>
    <row r="883" ht="15.75" customHeight="1" x14ac:dyDescent="0.5"/>
    <row r="884" ht="15.75" customHeight="1" x14ac:dyDescent="0.5"/>
    <row r="885" ht="15.75" customHeight="1" x14ac:dyDescent="0.5"/>
    <row r="886" ht="15.75" customHeight="1" x14ac:dyDescent="0.5"/>
    <row r="887" ht="15.75" customHeight="1" x14ac:dyDescent="0.5"/>
    <row r="888" ht="15.75" customHeight="1" x14ac:dyDescent="0.5"/>
    <row r="889" ht="15.75" customHeight="1" x14ac:dyDescent="0.5"/>
    <row r="890" ht="15.75" customHeight="1" x14ac:dyDescent="0.5"/>
    <row r="891" ht="15.75" customHeight="1" x14ac:dyDescent="0.5"/>
    <row r="892" ht="15.75" customHeight="1" x14ac:dyDescent="0.5"/>
    <row r="893" ht="15.75" customHeight="1" x14ac:dyDescent="0.5"/>
    <row r="894" ht="15.75" customHeight="1" x14ac:dyDescent="0.5"/>
    <row r="895" ht="15.75" customHeight="1" x14ac:dyDescent="0.5"/>
    <row r="896" ht="15.75" customHeight="1" x14ac:dyDescent="0.5"/>
    <row r="897" ht="15.75" customHeight="1" x14ac:dyDescent="0.5"/>
    <row r="898" ht="15.75" customHeight="1" x14ac:dyDescent="0.5"/>
    <row r="899" ht="15.75" customHeight="1" x14ac:dyDescent="0.5"/>
    <row r="900" ht="15.75" customHeight="1" x14ac:dyDescent="0.5"/>
    <row r="901" ht="15.75" customHeight="1" x14ac:dyDescent="0.5"/>
    <row r="902" ht="15.75" customHeight="1" x14ac:dyDescent="0.5"/>
    <row r="903" ht="15.75" customHeight="1" x14ac:dyDescent="0.5"/>
    <row r="904" ht="15.75" customHeight="1" x14ac:dyDescent="0.5"/>
    <row r="905" ht="15.75" customHeight="1" x14ac:dyDescent="0.5"/>
    <row r="906" ht="15.75" customHeight="1" x14ac:dyDescent="0.5"/>
    <row r="907" ht="15.75" customHeight="1" x14ac:dyDescent="0.5"/>
    <row r="908" ht="15.75" customHeight="1" x14ac:dyDescent="0.5"/>
    <row r="909" ht="15.75" customHeight="1" x14ac:dyDescent="0.5"/>
    <row r="910" ht="15.75" customHeight="1" x14ac:dyDescent="0.5"/>
    <row r="911" ht="15.75" customHeight="1" x14ac:dyDescent="0.5"/>
    <row r="912" ht="15.75" customHeight="1" x14ac:dyDescent="0.5"/>
    <row r="913" ht="15.75" customHeight="1" x14ac:dyDescent="0.5"/>
    <row r="914" ht="15.75" customHeight="1" x14ac:dyDescent="0.5"/>
    <row r="915" ht="15.75" customHeight="1" x14ac:dyDescent="0.5"/>
    <row r="916" ht="15.75" customHeight="1" x14ac:dyDescent="0.5"/>
    <row r="917" ht="15.75" customHeight="1" x14ac:dyDescent="0.5"/>
    <row r="918" ht="15.75" customHeight="1" x14ac:dyDescent="0.5"/>
    <row r="919" ht="15.75" customHeight="1" x14ac:dyDescent="0.5"/>
    <row r="920" ht="15.75" customHeight="1" x14ac:dyDescent="0.5"/>
    <row r="921" ht="15.75" customHeight="1" x14ac:dyDescent="0.5"/>
    <row r="922" ht="15.75" customHeight="1" x14ac:dyDescent="0.5"/>
    <row r="923" ht="15.75" customHeight="1" x14ac:dyDescent="0.5"/>
    <row r="924" ht="15.75" customHeight="1" x14ac:dyDescent="0.5"/>
    <row r="925" ht="15.75" customHeight="1" x14ac:dyDescent="0.5"/>
    <row r="926" ht="15.75" customHeight="1" x14ac:dyDescent="0.5"/>
    <row r="927" ht="15.75" customHeight="1" x14ac:dyDescent="0.5"/>
    <row r="928" ht="15.75" customHeight="1" x14ac:dyDescent="0.5"/>
    <row r="929" ht="15.75" customHeight="1" x14ac:dyDescent="0.5"/>
    <row r="930" ht="15.75" customHeight="1" x14ac:dyDescent="0.5"/>
    <row r="931" ht="15.75" customHeight="1" x14ac:dyDescent="0.5"/>
    <row r="932" ht="15.75" customHeight="1" x14ac:dyDescent="0.5"/>
    <row r="933" ht="15.75" customHeight="1" x14ac:dyDescent="0.5"/>
    <row r="934" ht="15.75" customHeight="1" x14ac:dyDescent="0.5"/>
    <row r="935" ht="15.75" customHeight="1" x14ac:dyDescent="0.5"/>
    <row r="936" ht="15.75" customHeight="1" x14ac:dyDescent="0.5"/>
    <row r="937" ht="15.75" customHeight="1" x14ac:dyDescent="0.5"/>
    <row r="938" ht="15.75" customHeight="1" x14ac:dyDescent="0.5"/>
    <row r="939" ht="15.75" customHeight="1" x14ac:dyDescent="0.5"/>
    <row r="940" ht="15.75" customHeight="1" x14ac:dyDescent="0.5"/>
    <row r="941" ht="15.75" customHeight="1" x14ac:dyDescent="0.5"/>
    <row r="942" ht="15.75" customHeight="1" x14ac:dyDescent="0.5"/>
    <row r="943" ht="15.75" customHeight="1" x14ac:dyDescent="0.5"/>
    <row r="944" ht="15.75" customHeight="1" x14ac:dyDescent="0.5"/>
    <row r="945" ht="15.75" customHeight="1" x14ac:dyDescent="0.5"/>
    <row r="946" ht="15.75" customHeight="1" x14ac:dyDescent="0.5"/>
    <row r="947" ht="15.75" customHeight="1" x14ac:dyDescent="0.5"/>
    <row r="948" ht="15.75" customHeight="1" x14ac:dyDescent="0.5"/>
    <row r="949" ht="15.75" customHeight="1" x14ac:dyDescent="0.5"/>
    <row r="950" ht="15.75" customHeight="1" x14ac:dyDescent="0.5"/>
    <row r="951" ht="15.75" customHeight="1" x14ac:dyDescent="0.5"/>
    <row r="952" ht="15.75" customHeight="1" x14ac:dyDescent="0.5"/>
    <row r="953" ht="15.75" customHeight="1" x14ac:dyDescent="0.5"/>
    <row r="954" ht="15.75" customHeight="1" x14ac:dyDescent="0.5"/>
    <row r="955" ht="15.75" customHeight="1" x14ac:dyDescent="0.5"/>
    <row r="956" ht="15.75" customHeight="1" x14ac:dyDescent="0.5"/>
    <row r="957" ht="15.75" customHeight="1" x14ac:dyDescent="0.5"/>
    <row r="958" ht="15.75" customHeight="1" x14ac:dyDescent="0.5"/>
    <row r="959" ht="15.75" customHeight="1" x14ac:dyDescent="0.5"/>
    <row r="960" ht="15.75" customHeight="1" x14ac:dyDescent="0.5"/>
    <row r="961" ht="15.75" customHeight="1" x14ac:dyDescent="0.5"/>
    <row r="962" ht="15.75" customHeight="1" x14ac:dyDescent="0.5"/>
    <row r="963" ht="15.75" customHeight="1" x14ac:dyDescent="0.5"/>
    <row r="964" ht="15.75" customHeight="1" x14ac:dyDescent="0.5"/>
    <row r="965" ht="15.75" customHeight="1" x14ac:dyDescent="0.5"/>
    <row r="966" ht="15.75" customHeight="1" x14ac:dyDescent="0.5"/>
    <row r="967" ht="15.75" customHeight="1" x14ac:dyDescent="0.5"/>
    <row r="968" ht="15.75" customHeight="1" x14ac:dyDescent="0.5"/>
    <row r="969" ht="15.75" customHeight="1" x14ac:dyDescent="0.5"/>
    <row r="970" ht="15.75" customHeight="1" x14ac:dyDescent="0.5"/>
    <row r="971" ht="15.75" customHeight="1" x14ac:dyDescent="0.5"/>
    <row r="972" ht="15.75" customHeight="1" x14ac:dyDescent="0.5"/>
    <row r="973" ht="15.75" customHeight="1" x14ac:dyDescent="0.5"/>
    <row r="974" ht="15.75" customHeight="1" x14ac:dyDescent="0.5"/>
    <row r="975" ht="15.75" customHeight="1" x14ac:dyDescent="0.5"/>
    <row r="976" ht="15.75" customHeight="1" x14ac:dyDescent="0.5"/>
    <row r="977" ht="15.75" customHeight="1" x14ac:dyDescent="0.5"/>
    <row r="978" ht="15.75" customHeight="1" x14ac:dyDescent="0.5"/>
    <row r="979" ht="15.75" customHeight="1" x14ac:dyDescent="0.5"/>
    <row r="980" ht="15.75" customHeight="1" x14ac:dyDescent="0.5"/>
    <row r="981" ht="15.75" customHeight="1" x14ac:dyDescent="0.5"/>
    <row r="982" ht="15.75" customHeight="1" x14ac:dyDescent="0.5"/>
    <row r="983" ht="15.75" customHeight="1" x14ac:dyDescent="0.5"/>
    <row r="984" ht="15.75" customHeight="1" x14ac:dyDescent="0.5"/>
    <row r="985" ht="15.75" customHeight="1" x14ac:dyDescent="0.5"/>
    <row r="986" ht="15.75" customHeight="1" x14ac:dyDescent="0.5"/>
    <row r="987" ht="15.75" customHeight="1" x14ac:dyDescent="0.5"/>
    <row r="988" ht="15.75" customHeight="1" x14ac:dyDescent="0.5"/>
    <row r="989" ht="15.75" customHeight="1" x14ac:dyDescent="0.5"/>
    <row r="990" ht="15.75" customHeight="1" x14ac:dyDescent="0.5"/>
    <row r="991" ht="15.75" customHeight="1" x14ac:dyDescent="0.5"/>
    <row r="992" ht="15.75" customHeight="1" x14ac:dyDescent="0.5"/>
    <row r="993" ht="15.75" customHeight="1" x14ac:dyDescent="0.5"/>
    <row r="994" ht="15.75" customHeight="1" x14ac:dyDescent="0.5"/>
    <row r="995" ht="15.75" customHeight="1" x14ac:dyDescent="0.5"/>
    <row r="996" ht="15.75" customHeight="1" x14ac:dyDescent="0.5"/>
    <row r="997" ht="15.75" customHeight="1" x14ac:dyDescent="0.5"/>
    <row r="998" ht="15.75" customHeight="1" x14ac:dyDescent="0.5"/>
    <row r="999" ht="15.75" customHeight="1" x14ac:dyDescent="0.5"/>
    <row r="1000" ht="15.75" customHeight="1" x14ac:dyDescent="0.5"/>
  </sheetData>
  <sheetProtection algorithmName="SHA-512" hashValue="s9f5pmf8vVDHvMLHlEcydRO/HU0L/2i7/Xx498zo5GpHz9JZcbKEHwiUbPrnL1uRpH96HYmemvNVJgNaHjS/Cg==" saltValue="Z9nbJZWvOqtGsKbT9zZdaQ==" spinCount="100000" sheet="1" objects="1" scenarios="1"/>
  <mergeCells count="4">
    <mergeCell ref="P3:U3"/>
    <mergeCell ref="V3:AA3"/>
    <mergeCell ref="AB3:AF3"/>
    <mergeCell ref="AG3:AK3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7766B0A2F714BA750462C394024AE" ma:contentTypeVersion="10" ma:contentTypeDescription="Een nieuw document maken." ma:contentTypeScope="" ma:versionID="380d54d61c44e336ac75021673e17d1f">
  <xsd:schema xmlns:xsd="http://www.w3.org/2001/XMLSchema" xmlns:xs="http://www.w3.org/2001/XMLSchema" xmlns:p="http://schemas.microsoft.com/office/2006/metadata/properties" xmlns:ns2="1960abaf-984e-42d6-9b4a-d2f1a2ae85ff" targetNamespace="http://schemas.microsoft.com/office/2006/metadata/properties" ma:root="true" ma:fieldsID="af5802dde71d72a4de950ac85bcec176" ns2:_="">
    <xsd:import namespace="1960abaf-984e-42d6-9b4a-d2f1a2ae85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0abaf-984e-42d6-9b4a-d2f1a2ae85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64fed88-3460-4323-80f9-15b2a3d3d2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60abaf-984e-42d6-9b4a-d2f1a2ae85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FF589C-CD33-4120-AD0A-E67C5E35908D}"/>
</file>

<file path=customXml/itemProps2.xml><?xml version="1.0" encoding="utf-8"?>
<ds:datastoreItem xmlns:ds="http://schemas.openxmlformats.org/officeDocument/2006/customXml" ds:itemID="{02009CF4-A0A8-48CD-B00A-EB6458F6D2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C24CB-D878-434B-B600-0BF6F97574DB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af445418-f9f4-4a88-9686-0bd2eeddc28f"/>
    <ds:schemaRef ds:uri="http://purl.org/dc/dcmitype/"/>
    <ds:schemaRef ds:uri="98f37cb4-3e29-432b-9996-52d8ce599376"/>
    <ds:schemaRef ds:uri="http://schemas.microsoft.com/sharepoint/v3"/>
    <ds:schemaRef ds:uri="http://schemas.microsoft.com/office/infopath/2007/PartnerControls"/>
    <ds:schemaRef ds:uri="e1f914b6-a544-4516-8258-dce33e67d54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Parkeerbalans Fase 5</vt:lpstr>
      <vt:lpstr>Parkeernormen Auto</vt:lpstr>
      <vt:lpstr>Rekentool KDV &amp; BSO Basisschool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Sandrino Budding</dc:creator>
  <cp:lastModifiedBy>Sonsma JS (Joost)</cp:lastModifiedBy>
  <dcterms:created xsi:type="dcterms:W3CDTF">2026-06-04T12:53:51Z</dcterms:created>
  <dcterms:modified xsi:type="dcterms:W3CDTF">2026-06-25T11:51:54Z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0x0101004057766B0A2F714BA750462C394024AE</vt:lpwstr>
  </property>
  <property fmtid="{D5CDD505-2E9C-101B-9397-08002B2CF9AE}" pid="3" name="Stadsdeel">
    <vt:lpwstr/>
  </property>
  <property fmtid="{D5CDD505-2E9C-101B-9397-08002B2CF9AE}" pid="4" name="Gebiedscode">
    <vt:lpwstr/>
  </property>
  <property fmtid="{D5CDD505-2E9C-101B-9397-08002B2CF9AE}" pid="5" name="Order">
    <vt:r8>283900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Dossierstatus">
    <vt:lpwstr>In behandeling</vt:lpwstr>
  </property>
  <property fmtid="{D5CDD505-2E9C-101B-9397-08002B2CF9AE}" pid="15" name="MediaServiceImageTags">
    <vt:lpwstr/>
  </property>
</Properties>
</file>