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Zaan Primair/2. PvE en Leidraad opgesteld ZP/Publicatie documenten/"/>
    </mc:Choice>
  </mc:AlternateContent>
  <xr:revisionPtr revIDLastSave="102" documentId="8_{D0302B48-4109-4789-8C2D-DE983799F47F}" xr6:coauthVersionLast="47" xr6:coauthVersionMax="47" xr10:uidLastSave="{CCB96B83-EC3C-428D-89EB-396ACA048E41}"/>
  <bookViews>
    <workbookView xWindow="8690" yWindow="10690" windowWidth="19420" windowHeight="11500" tabRatio="88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47" r:id="rId9"/>
    <sheet name="10-Vloeronderhoud" sheetId="39" r:id="rId10"/>
    <sheet name="11-Machinekosten" sheetId="40" r:id="rId11"/>
  </sheets>
  <externalReferences>
    <externalReference r:id="rId12"/>
    <externalReference r:id="rId13"/>
    <externalReference r:id="rId14"/>
    <externalReference r:id="rId15"/>
    <externalReference r:id="rId16"/>
  </externalReferences>
  <definedNames>
    <definedName name="__1F" hidden="1">#REF!</definedName>
    <definedName name="__2_0_F" hidden="1">#REF!</definedName>
    <definedName name="__c" hidden="1">'[1]#REF'!#REF!</definedName>
    <definedName name="_1_________F" hidden="1">#REF!</definedName>
    <definedName name="_1F" localSheetId="1" hidden="1">#REF!</definedName>
    <definedName name="_1F" hidden="1">#REF!</definedName>
    <definedName name="_2_______0_F" hidden="1">#REF!</definedName>
    <definedName name="_2_0_F" localSheetId="8" hidden="1">[2]Blad1!#REF!</definedName>
    <definedName name="_2_0_F" hidden="1">#REF!</definedName>
    <definedName name="_2F" hidden="1">#REF!</definedName>
    <definedName name="_3_0_F" hidden="1">#REF!</definedName>
    <definedName name="_3F" localSheetId="8" hidden="1">[2]Blad1!#REF!</definedName>
    <definedName name="_3F" hidden="1">#REF!</definedName>
    <definedName name="_4F" hidden="1">#REF!</definedName>
    <definedName name="_5_0_F" hidden="1">#REF!</definedName>
    <definedName name="_8_0_F" hidden="1">#REF!</definedName>
    <definedName name="_c" hidden="1">'[1]#REF'!#REF!</definedName>
    <definedName name="_Dist_Bin" hidden="1">#REF!</definedName>
    <definedName name="_Dist_Values" hidden="1">#REF!</definedName>
    <definedName name="_Fill" localSheetId="9" hidden="1">#REF!</definedName>
    <definedName name="_Fill" localSheetId="1" hidden="1">#REF!</definedName>
    <definedName name="_Fill" localSheetId="8" hidden="1">[3]ruimten!#REF!</definedName>
    <definedName name="_Fill" hidden="1">#REF!</definedName>
    <definedName name="_filll" hidden="1">#REF!</definedName>
    <definedName name="_xlnm._FilterDatabase" localSheetId="9" hidden="1">'10-Vloeronderhoud'!$A$12:$AA$96</definedName>
    <definedName name="_xlnm._FilterDatabase" localSheetId="1" hidden="1">'2-Kosten per locatie'!$A$14:$O$34</definedName>
    <definedName name="_xlnm._FilterDatabase" localSheetId="3" hidden="1">'4-Basis ruimtestaat'!$B$9:$S$890</definedName>
    <definedName name="_Hlk39130726" localSheetId="0">'1-Uitgangspunten'!$A$16</definedName>
    <definedName name="_Key1" localSheetId="9" hidden="1">#REF!</definedName>
    <definedName name="_Key1" localSheetId="1" hidden="1">#REF!</definedName>
    <definedName name="_Key1" localSheetId="8" hidden="1">[3]ruimten!#REF!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antalTaken">#REF!</definedName>
    <definedName name="AccessDatabase" hidden="1">"C:\data\excel\BASISWP.mdb"</definedName>
    <definedName name="Additioneel" hidden="1">#REF!</definedName>
    <definedName name="_xlnm.Print_Area" localSheetId="1">'2-Kosten per locatie'!$A$1:$O$34</definedName>
    <definedName name="_xlnm.Print_Area" localSheetId="3">'4-Basis ruimtestaat'!$B$3:$S$890</definedName>
    <definedName name="_xlnm.Print_Area" localSheetId="4">'5-Premies en opslagen'!$A$3:$E$55</definedName>
    <definedName name="_xlnm.Print_Area" localSheetId="5">'6-Opbouw uurtarief productie'!$A$1:$O$70</definedName>
    <definedName name="_xlnm.Print_Titles" localSheetId="9">'10-Vloeronderhoud'!$12:$12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AllInTarief">#REF!</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CZO">#REF!</definedName>
    <definedName name="DB.Bouwdeel">#REF!</definedName>
    <definedName name="DB.Etage">#REF!</definedName>
    <definedName name="DB.Kengetal">#REF!</definedName>
    <definedName name="DB.Machines">#REF!</definedName>
    <definedName name="DB.Oppervlakte">#REF!</definedName>
    <definedName name="DB.Oppervlakteperjaar">#REF!</definedName>
    <definedName name="DB.Urenperdag">#REF!</definedName>
    <definedName name="DB.Vloer">#REF!</definedName>
    <definedName name="dffdf" hidden="1">#REF!</definedName>
    <definedName name="District">#REF!</definedName>
    <definedName name="einde" localSheetId="1">'2-Kosten per locatie'!einde</definedName>
    <definedName name="einde">'2-Kosten per locatie'!einde</definedName>
    <definedName name="Factor">#REF!</definedName>
    <definedName name="FactorNorm">#REF!</definedName>
    <definedName name="FactorPV">#REF!</definedName>
    <definedName name="Facturatiefreq.">#REF!</definedName>
    <definedName name="fghf" hidden="1">#REF!</definedName>
    <definedName name="Gan_R" localSheetId="1">'2-Kosten per locatie'!Gan_R</definedName>
    <definedName name="Gan_R">'2-Kosten per locatie'!Gan_R</definedName>
    <definedName name="gs" hidden="1">#REF!</definedName>
    <definedName name="han" localSheetId="9" hidden="1">#REF!</definedName>
    <definedName name="han" localSheetId="1" hidden="1">#REF!</definedName>
    <definedName name="han" localSheetId="8" hidden="1">'[4]#REF'!#REF!</definedName>
    <definedName name="han" hidden="1">#REF!</definedName>
    <definedName name="HFreq.">#REF!</definedName>
    <definedName name="HTML_CodePage" hidden="1">1252</definedName>
    <definedName name="HTML_Control" localSheetId="1" hidden="1">{"'ma_vr'!$A$1:$AA$42"}</definedName>
    <definedName name="HTML_Control" localSheetId="8"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#REF!</definedName>
    <definedName name="Klantnaam">#REF!</definedName>
    <definedName name="Locatie1">'[5]1.1b-Contractblad Perceel 2'!$B$9</definedName>
    <definedName name="Locatie2">'[5]1.1a-Contractblad Perceel 1'!$B$10</definedName>
    <definedName name="LocatieNaam">'[5]1.1b-Contractblad Perceel 2'!$B$9</definedName>
    <definedName name="Mutatiederdekwartaal" localSheetId="1" hidden="1">{"'ma_vr'!$A$1:$AA$42"}</definedName>
    <definedName name="Mutatiederdekwartaal" hidden="1">{"'ma_vr'!$A$1:$AA$42"}</definedName>
    <definedName name="NvB" hidden="1">#REF!</definedName>
    <definedName name="Prijspeil">#REF!</definedName>
    <definedName name="q" hidden="1">[2]Blad1!#REF!</definedName>
    <definedName name="Rekenfreq.">#REF!</definedName>
    <definedName name="Tarieven">#REF!</definedName>
    <definedName name="TB.Normenvergelij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40" l="1"/>
  <c r="B5" i="40" l="1"/>
  <c r="F44" i="39" l="1"/>
  <c r="E44" i="39"/>
  <c r="B4" i="31"/>
  <c r="N717" i="2"/>
  <c r="L547" i="2"/>
  <c r="L599" i="2"/>
  <c r="L587" i="2"/>
  <c r="L579" i="2"/>
  <c r="L576" i="2"/>
  <c r="L565" i="2"/>
  <c r="L561" i="2"/>
  <c r="L556" i="2"/>
  <c r="L551" i="2"/>
  <c r="L544" i="2"/>
  <c r="L543" i="2"/>
  <c r="L537" i="2"/>
  <c r="L147" i="2"/>
  <c r="G44" i="39" l="1"/>
  <c r="I44" i="39" s="1"/>
  <c r="E79" i="39"/>
  <c r="E80" i="39"/>
  <c r="E81" i="39"/>
  <c r="E82" i="39"/>
  <c r="E83" i="39"/>
  <c r="E84" i="39"/>
  <c r="E85" i="39"/>
  <c r="E86" i="39"/>
  <c r="E87" i="39"/>
  <c r="E88" i="39"/>
  <c r="E89" i="39"/>
  <c r="E90" i="39"/>
  <c r="E91" i="39"/>
  <c r="E92" i="39"/>
  <c r="E93" i="39"/>
  <c r="E94" i="39"/>
  <c r="E63" i="39"/>
  <c r="E64" i="39"/>
  <c r="E65" i="39"/>
  <c r="E66" i="39"/>
  <c r="E67" i="39"/>
  <c r="E68" i="39"/>
  <c r="E69" i="39"/>
  <c r="E70" i="39"/>
  <c r="E71" i="39"/>
  <c r="E72" i="39"/>
  <c r="E73" i="39"/>
  <c r="E74" i="39"/>
  <c r="E75" i="39"/>
  <c r="E76" i="39"/>
  <c r="E77" i="39"/>
  <c r="E78" i="39"/>
  <c r="E45" i="39"/>
  <c r="E46" i="39"/>
  <c r="E47" i="39"/>
  <c r="E48" i="39"/>
  <c r="E49" i="39"/>
  <c r="E50" i="39"/>
  <c r="E51" i="39"/>
  <c r="E52" i="39"/>
  <c r="E53" i="39"/>
  <c r="E54" i="39"/>
  <c r="E55" i="39"/>
  <c r="E56" i="39"/>
  <c r="E57" i="39"/>
  <c r="E58" i="39"/>
  <c r="E59" i="39"/>
  <c r="E60" i="39"/>
  <c r="E61" i="39"/>
  <c r="E62" i="39"/>
  <c r="E28" i="39"/>
  <c r="E29" i="39"/>
  <c r="E30" i="39"/>
  <c r="E31" i="39"/>
  <c r="E32" i="39"/>
  <c r="E33" i="39"/>
  <c r="E34" i="39"/>
  <c r="E35" i="39"/>
  <c r="E36" i="39"/>
  <c r="E37" i="39"/>
  <c r="E38" i="39"/>
  <c r="E39" i="39"/>
  <c r="E40" i="39"/>
  <c r="E41" i="39"/>
  <c r="E42" i="39"/>
  <c r="E13" i="39"/>
  <c r="E14" i="39"/>
  <c r="E15" i="39"/>
  <c r="E16" i="39"/>
  <c r="E17" i="39"/>
  <c r="E18" i="39"/>
  <c r="E19" i="39"/>
  <c r="E20" i="39"/>
  <c r="E21" i="39"/>
  <c r="E22" i="39"/>
  <c r="E23" i="39"/>
  <c r="E24" i="39"/>
  <c r="E25" i="39"/>
  <c r="E26" i="39"/>
  <c r="E27" i="39"/>
  <c r="F41" i="39" l="1"/>
  <c r="F42" i="39"/>
  <c r="F43" i="39"/>
  <c r="F45" i="39"/>
  <c r="F46" i="39"/>
  <c r="F47" i="39"/>
  <c r="F48" i="39"/>
  <c r="F49" i="39"/>
  <c r="F50" i="39"/>
  <c r="F51" i="39"/>
  <c r="F52" i="39"/>
  <c r="F53" i="39"/>
  <c r="F54" i="39"/>
  <c r="F55" i="39"/>
  <c r="F56" i="39"/>
  <c r="F57" i="39"/>
  <c r="F58" i="39"/>
  <c r="F59" i="39"/>
  <c r="F60" i="39"/>
  <c r="F61" i="39"/>
  <c r="F62" i="39"/>
  <c r="F63" i="39"/>
  <c r="F64" i="39"/>
  <c r="F65" i="39"/>
  <c r="F66" i="39"/>
  <c r="F67" i="39"/>
  <c r="F68" i="39"/>
  <c r="F69" i="39"/>
  <c r="F70" i="39"/>
  <c r="F71" i="39"/>
  <c r="F72" i="39"/>
  <c r="F73" i="39"/>
  <c r="F74" i="39"/>
  <c r="F75" i="39"/>
  <c r="F76" i="39"/>
  <c r="F77" i="39"/>
  <c r="F78" i="39"/>
  <c r="F79" i="39"/>
  <c r="G79" i="39" s="1"/>
  <c r="I79" i="39" s="1"/>
  <c r="F80" i="39"/>
  <c r="F81" i="39"/>
  <c r="F82" i="39"/>
  <c r="F83" i="39"/>
  <c r="F84" i="39"/>
  <c r="G84" i="39" s="1"/>
  <c r="I84" i="39" s="1"/>
  <c r="F85" i="39"/>
  <c r="G85" i="39" s="1"/>
  <c r="I85" i="39" s="1"/>
  <c r="F86" i="39"/>
  <c r="F87" i="39"/>
  <c r="F88" i="39"/>
  <c r="G88" i="39" s="1"/>
  <c r="I88" i="39" s="1"/>
  <c r="F89" i="39"/>
  <c r="F90" i="39"/>
  <c r="F91" i="39"/>
  <c r="G91" i="39" s="1"/>
  <c r="I91" i="39" s="1"/>
  <c r="F92" i="39"/>
  <c r="F93" i="39"/>
  <c r="G93" i="39" s="1"/>
  <c r="I93" i="39" s="1"/>
  <c r="F94" i="39"/>
  <c r="G94" i="39" s="1"/>
  <c r="I94" i="39" s="1"/>
  <c r="L887" i="2"/>
  <c r="S887" i="2" s="1"/>
  <c r="L888" i="2"/>
  <c r="S888" i="2" s="1"/>
  <c r="L889" i="2"/>
  <c r="S889" i="2" s="1"/>
  <c r="L890" i="2"/>
  <c r="S890" i="2" s="1"/>
  <c r="G81" i="39" l="1"/>
  <c r="I81" i="39" s="1"/>
  <c r="G58" i="39"/>
  <c r="I58" i="39" s="1"/>
  <c r="G53" i="39"/>
  <c r="I53" i="39" s="1"/>
  <c r="G48" i="39"/>
  <c r="I48" i="39" s="1"/>
  <c r="G68" i="39"/>
  <c r="I68" i="39" s="1"/>
  <c r="G61" i="39"/>
  <c r="I61" i="39" s="1"/>
  <c r="G57" i="39"/>
  <c r="I57" i="39" s="1"/>
  <c r="G78" i="39"/>
  <c r="I78" i="39" s="1"/>
  <c r="G67" i="39"/>
  <c r="I67" i="39" s="1"/>
  <c r="G63" i="39"/>
  <c r="I63" i="39" s="1"/>
  <c r="G90" i="39"/>
  <c r="I90" i="39" s="1"/>
  <c r="G52" i="39"/>
  <c r="I52" i="39" s="1"/>
  <c r="G71" i="39"/>
  <c r="I71" i="39" s="1"/>
  <c r="G69" i="39"/>
  <c r="I69" i="39" s="1"/>
  <c r="G45" i="39"/>
  <c r="I45" i="39" s="1"/>
  <c r="G77" i="39"/>
  <c r="I77" i="39" s="1"/>
  <c r="G73" i="39"/>
  <c r="I73" i="39" s="1"/>
  <c r="G87" i="39"/>
  <c r="I87" i="39" s="1"/>
  <c r="G50" i="39"/>
  <c r="I50" i="39" s="1"/>
  <c r="G46" i="39"/>
  <c r="I46" i="39" s="1"/>
  <c r="G65" i="39"/>
  <c r="I65" i="39" s="1"/>
  <c r="G89" i="39"/>
  <c r="I89" i="39" s="1"/>
  <c r="G80" i="39"/>
  <c r="I80" i="39" s="1"/>
  <c r="G64" i="39"/>
  <c r="I64" i="39" s="1"/>
  <c r="G75" i="39"/>
  <c r="I75" i="39" s="1"/>
  <c r="G56" i="39"/>
  <c r="I56" i="39" s="1"/>
  <c r="G47" i="39"/>
  <c r="I47" i="39" s="1"/>
  <c r="G41" i="39"/>
  <c r="I41" i="39" s="1"/>
  <c r="G62" i="39"/>
  <c r="I62" i="39" s="1"/>
  <c r="G51" i="39"/>
  <c r="I51" i="39" s="1"/>
  <c r="G86" i="39"/>
  <c r="I86" i="39" s="1"/>
  <c r="G83" i="39"/>
  <c r="I83" i="39" s="1"/>
  <c r="G92" i="39"/>
  <c r="I92" i="39" s="1"/>
  <c r="G82" i="39"/>
  <c r="I82" i="39" s="1"/>
  <c r="G74" i="39"/>
  <c r="I74" i="39" s="1"/>
  <c r="G70" i="39"/>
  <c r="I70" i="39" s="1"/>
  <c r="G66" i="39"/>
  <c r="I66" i="39" s="1"/>
  <c r="G72" i="39"/>
  <c r="I72" i="39" s="1"/>
  <c r="G76" i="39"/>
  <c r="I76" i="39" s="1"/>
  <c r="G60" i="39"/>
  <c r="I60" i="39" s="1"/>
  <c r="G55" i="39"/>
  <c r="I55" i="39" s="1"/>
  <c r="G49" i="39"/>
  <c r="I49" i="39" s="1"/>
  <c r="G59" i="39"/>
  <c r="I59" i="39" s="1"/>
  <c r="G54" i="39"/>
  <c r="I54" i="39" s="1"/>
  <c r="G42" i="39"/>
  <c r="I42" i="39" s="1"/>
  <c r="N11" i="2" l="1"/>
  <c r="N13" i="2"/>
  <c r="N19" i="2"/>
  <c r="N20" i="2"/>
  <c r="N27" i="2"/>
  <c r="N28" i="2"/>
  <c r="N34" i="2"/>
  <c r="N38" i="2"/>
  <c r="N44" i="2"/>
  <c r="N54" i="2"/>
  <c r="N57" i="2"/>
  <c r="N61" i="2"/>
  <c r="N63" i="2"/>
  <c r="N64" i="2"/>
  <c r="N68" i="2"/>
  <c r="N82" i="2"/>
  <c r="N85" i="2"/>
  <c r="N87" i="2"/>
  <c r="N105" i="2"/>
  <c r="N106" i="2"/>
  <c r="N107" i="2"/>
  <c r="N108" i="2"/>
  <c r="N110" i="2"/>
  <c r="N144" i="2"/>
  <c r="N145" i="2"/>
  <c r="N150" i="2"/>
  <c r="N151" i="2"/>
  <c r="N152" i="2"/>
  <c r="N153" i="2"/>
  <c r="N169" i="2"/>
  <c r="N170" i="2"/>
  <c r="N173" i="2"/>
  <c r="N177" i="2"/>
  <c r="N180" i="2"/>
  <c r="N182" i="2"/>
  <c r="N195" i="2"/>
  <c r="N196" i="2"/>
  <c r="N197" i="2"/>
  <c r="N198" i="2"/>
  <c r="N200" i="2"/>
  <c r="N201" i="2"/>
  <c r="N202" i="2"/>
  <c r="N203" i="2"/>
  <c r="N204"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32" i="2"/>
  <c r="N335" i="2"/>
  <c r="N345" i="2"/>
  <c r="N346" i="2"/>
  <c r="N348"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501" i="2"/>
  <c r="N502" i="2"/>
  <c r="N503" i="2"/>
  <c r="N505" i="2"/>
  <c r="N506" i="2"/>
  <c r="N507" i="2"/>
  <c r="N508" i="2"/>
  <c r="N510" i="2"/>
  <c r="N511" i="2"/>
  <c r="N512" i="2"/>
  <c r="N513" i="2"/>
  <c r="N544" i="2"/>
  <c r="N579" i="2"/>
  <c r="N598"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8" i="2"/>
  <c r="N719" i="2"/>
  <c r="N720" i="2"/>
  <c r="N721" i="2"/>
  <c r="N722" i="2"/>
  <c r="N723" i="2"/>
  <c r="N724" i="2"/>
  <c r="N726" i="2"/>
  <c r="N729" i="2"/>
  <c r="N745" i="2"/>
  <c r="N748" i="2"/>
  <c r="N752" i="2"/>
  <c r="N753" i="2"/>
  <c r="N754" i="2"/>
  <c r="N760" i="2"/>
  <c r="N761" i="2"/>
  <c r="N764" i="2"/>
  <c r="N765" i="2"/>
  <c r="N770" i="2"/>
  <c r="N771" i="2"/>
  <c r="N772" i="2"/>
  <c r="N773" i="2"/>
  <c r="N774" i="2"/>
  <c r="N793" i="2"/>
  <c r="N794" i="2"/>
  <c r="N795" i="2"/>
  <c r="N805" i="2"/>
  <c r="N817" i="2"/>
  <c r="N827" i="2"/>
  <c r="N832" i="2"/>
  <c r="N833" i="2"/>
  <c r="N859" i="2"/>
  <c r="N863" i="2"/>
  <c r="N864" i="2"/>
  <c r="N865" i="2"/>
  <c r="N870" i="2"/>
  <c r="N874" i="2"/>
  <c r="N880" i="2"/>
  <c r="N881" i="2"/>
  <c r="O11" i="2" l="1"/>
  <c r="O13" i="2"/>
  <c r="O19" i="2"/>
  <c r="O20" i="2"/>
  <c r="O27" i="2"/>
  <c r="O28" i="2"/>
  <c r="O34" i="2"/>
  <c r="O38" i="2"/>
  <c r="O44" i="2"/>
  <c r="O54" i="2"/>
  <c r="O57" i="2"/>
  <c r="O61" i="2"/>
  <c r="O63" i="2"/>
  <c r="O64" i="2"/>
  <c r="O68" i="2"/>
  <c r="O82" i="2"/>
  <c r="O85" i="2"/>
  <c r="O87" i="2"/>
  <c r="O105" i="2"/>
  <c r="O106" i="2"/>
  <c r="O107" i="2"/>
  <c r="O108" i="2"/>
  <c r="O110" i="2"/>
  <c r="O144" i="2"/>
  <c r="O145" i="2"/>
  <c r="O150" i="2"/>
  <c r="O151" i="2"/>
  <c r="O152" i="2"/>
  <c r="O153" i="2"/>
  <c r="O169" i="2"/>
  <c r="O170" i="2"/>
  <c r="O173" i="2"/>
  <c r="O177" i="2"/>
  <c r="O180" i="2"/>
  <c r="O182" i="2"/>
  <c r="O195" i="2"/>
  <c r="O196" i="2"/>
  <c r="O197" i="2"/>
  <c r="O198" i="2"/>
  <c r="O200" i="2"/>
  <c r="O201" i="2"/>
  <c r="O202" i="2"/>
  <c r="O203" i="2"/>
  <c r="O204"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32" i="2"/>
  <c r="O333" i="2"/>
  <c r="N333" i="2" s="1"/>
  <c r="O334" i="2"/>
  <c r="N334" i="2" s="1"/>
  <c r="O335" i="2"/>
  <c r="O345" i="2"/>
  <c r="O346" i="2"/>
  <c r="O348" i="2"/>
  <c r="O349" i="2"/>
  <c r="N349" i="2" s="1"/>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501" i="2"/>
  <c r="O502" i="2"/>
  <c r="O503" i="2"/>
  <c r="O505" i="2"/>
  <c r="O506" i="2"/>
  <c r="O507" i="2"/>
  <c r="O508" i="2"/>
  <c r="O510" i="2"/>
  <c r="O511" i="2"/>
  <c r="O512" i="2"/>
  <c r="O513" i="2"/>
  <c r="O521" i="2"/>
  <c r="N521" i="2" s="1"/>
  <c r="O529" i="2"/>
  <c r="N529" i="2" s="1"/>
  <c r="O530" i="2"/>
  <c r="N530" i="2" s="1"/>
  <c r="O533" i="2"/>
  <c r="N533" i="2" s="1"/>
  <c r="O534" i="2"/>
  <c r="N534" i="2" s="1"/>
  <c r="O537" i="2"/>
  <c r="N537" i="2" s="1"/>
  <c r="O543" i="2"/>
  <c r="N543" i="2" s="1"/>
  <c r="O544" i="2"/>
  <c r="O547" i="2"/>
  <c r="N547" i="2" s="1"/>
  <c r="O551" i="2"/>
  <c r="N551" i="2" s="1"/>
  <c r="O556" i="2"/>
  <c r="N556" i="2" s="1"/>
  <c r="O561" i="2"/>
  <c r="N561" i="2" s="1"/>
  <c r="O565" i="2"/>
  <c r="N565" i="2" s="1"/>
  <c r="O576" i="2"/>
  <c r="N576" i="2" s="1"/>
  <c r="O579" i="2"/>
  <c r="O587" i="2"/>
  <c r="N587" i="2" s="1"/>
  <c r="O598" i="2"/>
  <c r="O599" i="2"/>
  <c r="N599" i="2" s="1"/>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6" i="2"/>
  <c r="O729" i="2"/>
  <c r="O745" i="2"/>
  <c r="O748" i="2"/>
  <c r="O752" i="2"/>
  <c r="O753" i="2"/>
  <c r="O754" i="2"/>
  <c r="O760" i="2"/>
  <c r="O761" i="2"/>
  <c r="O764" i="2"/>
  <c r="O765" i="2"/>
  <c r="O770" i="2"/>
  <c r="O771" i="2"/>
  <c r="O772" i="2"/>
  <c r="O773" i="2"/>
  <c r="O774" i="2"/>
  <c r="O782" i="2"/>
  <c r="N782" i="2" s="1"/>
  <c r="O788" i="2"/>
  <c r="N788" i="2" s="1"/>
  <c r="O793" i="2"/>
  <c r="O794" i="2"/>
  <c r="O795" i="2"/>
  <c r="O805" i="2"/>
  <c r="O817" i="2"/>
  <c r="O827" i="2"/>
  <c r="O832" i="2"/>
  <c r="O833" i="2"/>
  <c r="O859" i="2"/>
  <c r="O863" i="2"/>
  <c r="O864" i="2"/>
  <c r="O865" i="2"/>
  <c r="O870" i="2"/>
  <c r="O874" i="2"/>
  <c r="O880" i="2"/>
  <c r="O881" i="2"/>
  <c r="B4" i="47"/>
  <c r="A3" i="47"/>
  <c r="B3" i="47"/>
  <c r="A4" i="47"/>
  <c r="A5" i="47"/>
  <c r="B5" i="47"/>
  <c r="A6" i="47"/>
  <c r="B6" i="47"/>
  <c r="A7" i="47"/>
  <c r="B7" i="47"/>
  <c r="A8" i="47"/>
  <c r="B8" i="47"/>
  <c r="E11" i="31" l="1"/>
  <c r="E12" i="31"/>
  <c r="E13" i="31"/>
  <c r="E14" i="31"/>
  <c r="E15" i="31"/>
  <c r="E16" i="31"/>
  <c r="E17" i="31"/>
  <c r="E18" i="31"/>
  <c r="E19" i="31"/>
  <c r="E20" i="31"/>
  <c r="E21" i="31"/>
  <c r="E22" i="31"/>
  <c r="E23" i="31"/>
  <c r="E24" i="31"/>
  <c r="E25" i="31"/>
  <c r="E26" i="31"/>
  <c r="E27" i="31"/>
  <c r="E28" i="31"/>
  <c r="F13" i="39"/>
  <c r="F14" i="39"/>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L588" i="2"/>
  <c r="S588" i="2" s="1"/>
  <c r="L589" i="2"/>
  <c r="S589" i="2" s="1"/>
  <c r="L590" i="2"/>
  <c r="S590" i="2" s="1"/>
  <c r="L154" i="2"/>
  <c r="S154" i="2" s="1"/>
  <c r="L172" i="2"/>
  <c r="S172" i="2" s="1"/>
  <c r="L183" i="2"/>
  <c r="S183" i="2" s="1"/>
  <c r="L195" i="2"/>
  <c r="S195" i="2" s="1"/>
  <c r="L201" i="2"/>
  <c r="S201" i="2" s="1"/>
  <c r="L202" i="2"/>
  <c r="S202" i="2" s="1"/>
  <c r="L203" i="2"/>
  <c r="S203" i="2" s="1"/>
  <c r="L204" i="2"/>
  <c r="S204" i="2" s="1"/>
  <c r="L205" i="2"/>
  <c r="S205" i="2" s="1"/>
  <c r="L155" i="2"/>
  <c r="S155" i="2" s="1"/>
  <c r="L156" i="2"/>
  <c r="S156" i="2" s="1"/>
  <c r="L157" i="2"/>
  <c r="S157" i="2" s="1"/>
  <c r="L158" i="2"/>
  <c r="S158" i="2" s="1"/>
  <c r="L159" i="2"/>
  <c r="S159" i="2" s="1"/>
  <c r="L160" i="2"/>
  <c r="S160" i="2" s="1"/>
  <c r="L161" i="2"/>
  <c r="S161" i="2" s="1"/>
  <c r="L162" i="2"/>
  <c r="S162" i="2" s="1"/>
  <c r="L163" i="2"/>
  <c r="S163" i="2" s="1"/>
  <c r="L164" i="2"/>
  <c r="S164" i="2" s="1"/>
  <c r="L165" i="2"/>
  <c r="S165" i="2" s="1"/>
  <c r="L166" i="2"/>
  <c r="S166" i="2" s="1"/>
  <c r="L167" i="2"/>
  <c r="S167" i="2" s="1"/>
  <c r="L168" i="2"/>
  <c r="S168" i="2" s="1"/>
  <c r="L169" i="2"/>
  <c r="S169" i="2" s="1"/>
  <c r="L170" i="2"/>
  <c r="S170" i="2" s="1"/>
  <c r="L171" i="2"/>
  <c r="S171" i="2" s="1"/>
  <c r="L173" i="2"/>
  <c r="S173" i="2" s="1"/>
  <c r="L174" i="2"/>
  <c r="S174" i="2" s="1"/>
  <c r="L175" i="2"/>
  <c r="S175" i="2" s="1"/>
  <c r="L176" i="2"/>
  <c r="S176" i="2" s="1"/>
  <c r="L177" i="2"/>
  <c r="S177" i="2" s="1"/>
  <c r="L178" i="2"/>
  <c r="S178" i="2" s="1"/>
  <c r="L179" i="2"/>
  <c r="S179" i="2" s="1"/>
  <c r="L180" i="2"/>
  <c r="S180" i="2" s="1"/>
  <c r="L181" i="2"/>
  <c r="S181" i="2" s="1"/>
  <c r="L182" i="2"/>
  <c r="S182" i="2" s="1"/>
  <c r="L184" i="2"/>
  <c r="S184" i="2" s="1"/>
  <c r="L185" i="2"/>
  <c r="S185" i="2" s="1"/>
  <c r="L186" i="2"/>
  <c r="S186" i="2" s="1"/>
  <c r="L187" i="2"/>
  <c r="S187" i="2" s="1"/>
  <c r="L188" i="2"/>
  <c r="S188" i="2" s="1"/>
  <c r="L189" i="2"/>
  <c r="S189" i="2" s="1"/>
  <c r="L190" i="2"/>
  <c r="S190" i="2" s="1"/>
  <c r="L191" i="2"/>
  <c r="S191" i="2" s="1"/>
  <c r="L192" i="2"/>
  <c r="S192" i="2" s="1"/>
  <c r="L193" i="2"/>
  <c r="S193" i="2" s="1"/>
  <c r="L194" i="2"/>
  <c r="S194" i="2" s="1"/>
  <c r="L196" i="2"/>
  <c r="S196" i="2" s="1"/>
  <c r="L197" i="2"/>
  <c r="S197" i="2" s="1"/>
  <c r="L198" i="2"/>
  <c r="S198" i="2" s="1"/>
  <c r="L199" i="2"/>
  <c r="S199" i="2" s="1"/>
  <c r="L200" i="2"/>
  <c r="S200" i="2" s="1"/>
  <c r="L206" i="2"/>
  <c r="S206" i="2" s="1"/>
  <c r="L217" i="2"/>
  <c r="S217" i="2" s="1"/>
  <c r="L228" i="2"/>
  <c r="S228" i="2" s="1"/>
  <c r="L239" i="2"/>
  <c r="S239" i="2" s="1"/>
  <c r="L246" i="2"/>
  <c r="S246" i="2" s="1"/>
  <c r="L247" i="2"/>
  <c r="S247" i="2" s="1"/>
  <c r="L248" i="2"/>
  <c r="S248" i="2" s="1"/>
  <c r="L249" i="2"/>
  <c r="S249" i="2" s="1"/>
  <c r="L250" i="2"/>
  <c r="S250" i="2" s="1"/>
  <c r="L207" i="2"/>
  <c r="S207" i="2" s="1"/>
  <c r="L208" i="2"/>
  <c r="S208" i="2" s="1"/>
  <c r="L209" i="2"/>
  <c r="S209" i="2" s="1"/>
  <c r="L210" i="2"/>
  <c r="S210" i="2" s="1"/>
  <c r="L211" i="2"/>
  <c r="S211" i="2" s="1"/>
  <c r="L212" i="2"/>
  <c r="S212" i="2" s="1"/>
  <c r="L213" i="2"/>
  <c r="S213" i="2" s="1"/>
  <c r="L214" i="2"/>
  <c r="S214" i="2" s="1"/>
  <c r="L215" i="2"/>
  <c r="S215" i="2" s="1"/>
  <c r="L216" i="2"/>
  <c r="S216" i="2" s="1"/>
  <c r="L218" i="2"/>
  <c r="S218" i="2" s="1"/>
  <c r="L219" i="2"/>
  <c r="S219" i="2" s="1"/>
  <c r="L220" i="2"/>
  <c r="S220" i="2" s="1"/>
  <c r="L221" i="2"/>
  <c r="S221" i="2" s="1"/>
  <c r="L222" i="2"/>
  <c r="S222" i="2" s="1"/>
  <c r="L223" i="2"/>
  <c r="S223" i="2" s="1"/>
  <c r="L224" i="2"/>
  <c r="S224" i="2" s="1"/>
  <c r="L225" i="2"/>
  <c r="S225" i="2" s="1"/>
  <c r="L226" i="2"/>
  <c r="S226" i="2" s="1"/>
  <c r="L227" i="2"/>
  <c r="S227" i="2" s="1"/>
  <c r="L229" i="2"/>
  <c r="S229" i="2" s="1"/>
  <c r="L230" i="2"/>
  <c r="S230" i="2" s="1"/>
  <c r="L231" i="2"/>
  <c r="S231" i="2" s="1"/>
  <c r="L232" i="2"/>
  <c r="S232" i="2" s="1"/>
  <c r="L233" i="2"/>
  <c r="S233" i="2" s="1"/>
  <c r="L234" i="2"/>
  <c r="S234" i="2" s="1"/>
  <c r="L235" i="2"/>
  <c r="S235" i="2" s="1"/>
  <c r="L236" i="2"/>
  <c r="S236" i="2" s="1"/>
  <c r="L237" i="2"/>
  <c r="S237" i="2" s="1"/>
  <c r="L238" i="2"/>
  <c r="S238" i="2" s="1"/>
  <c r="L240" i="2"/>
  <c r="S240" i="2" s="1"/>
  <c r="L241" i="2"/>
  <c r="S241" i="2" s="1"/>
  <c r="L242" i="2"/>
  <c r="S242" i="2" s="1"/>
  <c r="L243" i="2"/>
  <c r="S243" i="2" s="1"/>
  <c r="L244" i="2"/>
  <c r="S244" i="2" s="1"/>
  <c r="L245" i="2"/>
  <c r="S245" i="2" s="1"/>
  <c r="L251" i="2"/>
  <c r="S251" i="2" s="1"/>
  <c r="L262" i="2"/>
  <c r="S262" i="2" s="1"/>
  <c r="L284" i="2"/>
  <c r="S284" i="2" s="1"/>
  <c r="L285" i="2"/>
  <c r="S285" i="2" s="1"/>
  <c r="L286" i="2"/>
  <c r="S286" i="2" s="1"/>
  <c r="L287" i="2"/>
  <c r="S287" i="2" s="1"/>
  <c r="L288" i="2"/>
  <c r="S288" i="2" s="1"/>
  <c r="L252" i="2"/>
  <c r="S252" i="2" s="1"/>
  <c r="L253" i="2"/>
  <c r="S253" i="2" s="1"/>
  <c r="L254" i="2"/>
  <c r="S254" i="2" s="1"/>
  <c r="L255" i="2"/>
  <c r="S255" i="2" s="1"/>
  <c r="L256" i="2"/>
  <c r="S256" i="2" s="1"/>
  <c r="L257" i="2"/>
  <c r="S257" i="2" s="1"/>
  <c r="L258" i="2"/>
  <c r="S258" i="2" s="1"/>
  <c r="L259" i="2"/>
  <c r="S259" i="2" s="1"/>
  <c r="L260" i="2"/>
  <c r="S260" i="2" s="1"/>
  <c r="L261" i="2"/>
  <c r="S261" i="2" s="1"/>
  <c r="L263" i="2"/>
  <c r="S263" i="2" s="1"/>
  <c r="L264" i="2"/>
  <c r="S264" i="2" s="1"/>
  <c r="L265" i="2"/>
  <c r="S265" i="2" s="1"/>
  <c r="L266" i="2"/>
  <c r="S266" i="2" s="1"/>
  <c r="L267" i="2"/>
  <c r="S267" i="2" s="1"/>
  <c r="L268" i="2"/>
  <c r="S268" i="2" s="1"/>
  <c r="L269" i="2"/>
  <c r="S269" i="2" s="1"/>
  <c r="L270" i="2"/>
  <c r="S270" i="2" s="1"/>
  <c r="L271" i="2"/>
  <c r="S271" i="2" s="1"/>
  <c r="L272" i="2"/>
  <c r="S272" i="2" s="1"/>
  <c r="L273" i="2"/>
  <c r="S273" i="2" s="1"/>
  <c r="L274" i="2"/>
  <c r="S274" i="2" s="1"/>
  <c r="L275" i="2"/>
  <c r="S275" i="2" s="1"/>
  <c r="L276" i="2"/>
  <c r="S276" i="2" s="1"/>
  <c r="L277" i="2"/>
  <c r="S277" i="2" s="1"/>
  <c r="L278" i="2"/>
  <c r="S278" i="2" s="1"/>
  <c r="L279" i="2"/>
  <c r="S279" i="2" s="1"/>
  <c r="L280" i="2"/>
  <c r="S280" i="2" s="1"/>
  <c r="L281" i="2"/>
  <c r="S281" i="2" s="1"/>
  <c r="L282" i="2"/>
  <c r="S282" i="2" s="1"/>
  <c r="L283" i="2"/>
  <c r="S283" i="2" s="1"/>
  <c r="L289" i="2"/>
  <c r="S289" i="2" s="1"/>
  <c r="L300" i="2"/>
  <c r="S300" i="2" s="1"/>
  <c r="L311" i="2"/>
  <c r="S311" i="2" s="1"/>
  <c r="L319" i="2"/>
  <c r="S319" i="2" s="1"/>
  <c r="L320" i="2"/>
  <c r="S320" i="2" s="1"/>
  <c r="L321" i="2"/>
  <c r="S321" i="2" s="1"/>
  <c r="L322" i="2"/>
  <c r="S322" i="2" s="1"/>
  <c r="L323" i="2"/>
  <c r="S323" i="2" s="1"/>
  <c r="L324" i="2"/>
  <c r="S324" i="2" s="1"/>
  <c r="L290" i="2"/>
  <c r="S290" i="2" s="1"/>
  <c r="L291" i="2"/>
  <c r="S291" i="2" s="1"/>
  <c r="L292" i="2"/>
  <c r="S292" i="2" s="1"/>
  <c r="L293" i="2"/>
  <c r="S293" i="2" s="1"/>
  <c r="L294" i="2"/>
  <c r="S294" i="2" s="1"/>
  <c r="L295" i="2"/>
  <c r="S295" i="2" s="1"/>
  <c r="L296" i="2"/>
  <c r="S296" i="2" s="1"/>
  <c r="L297" i="2"/>
  <c r="S297" i="2" s="1"/>
  <c r="L298" i="2"/>
  <c r="S298" i="2" s="1"/>
  <c r="L299" i="2"/>
  <c r="S299" i="2" s="1"/>
  <c r="L301" i="2"/>
  <c r="S301" i="2" s="1"/>
  <c r="L302" i="2"/>
  <c r="S302" i="2" s="1"/>
  <c r="L303" i="2"/>
  <c r="S303" i="2" s="1"/>
  <c r="L304" i="2"/>
  <c r="S304" i="2" s="1"/>
  <c r="L305" i="2"/>
  <c r="S305" i="2" s="1"/>
  <c r="L306" i="2"/>
  <c r="S306" i="2" s="1"/>
  <c r="L307" i="2"/>
  <c r="S307" i="2" s="1"/>
  <c r="L308" i="2"/>
  <c r="S308" i="2" s="1"/>
  <c r="L309" i="2"/>
  <c r="S309" i="2" s="1"/>
  <c r="L310" i="2"/>
  <c r="S310" i="2" s="1"/>
  <c r="L312" i="2"/>
  <c r="S312" i="2" s="1"/>
  <c r="L313" i="2"/>
  <c r="S313" i="2" s="1"/>
  <c r="L314" i="2"/>
  <c r="S314" i="2" s="1"/>
  <c r="L315" i="2"/>
  <c r="S315" i="2" s="1"/>
  <c r="L316" i="2"/>
  <c r="S316" i="2" s="1"/>
  <c r="L317" i="2"/>
  <c r="S317" i="2" s="1"/>
  <c r="L318" i="2"/>
  <c r="S318" i="2" s="1"/>
  <c r="L325" i="2"/>
  <c r="S325" i="2" s="1"/>
  <c r="L336" i="2"/>
  <c r="S336" i="2" s="1"/>
  <c r="L347" i="2"/>
  <c r="S347" i="2" s="1"/>
  <c r="L353" i="2"/>
  <c r="S353" i="2" s="1"/>
  <c r="L354" i="2"/>
  <c r="S354" i="2" s="1"/>
  <c r="L355" i="2"/>
  <c r="S355" i="2" s="1"/>
  <c r="L356" i="2"/>
  <c r="S356" i="2" s="1"/>
  <c r="L357" i="2"/>
  <c r="S357" i="2" s="1"/>
  <c r="L358" i="2"/>
  <c r="S358" i="2" s="1"/>
  <c r="L326" i="2"/>
  <c r="S326" i="2" s="1"/>
  <c r="L327" i="2"/>
  <c r="S327" i="2" s="1"/>
  <c r="L328" i="2"/>
  <c r="S328" i="2" s="1"/>
  <c r="L329" i="2"/>
  <c r="S329" i="2" s="1"/>
  <c r="L330" i="2"/>
  <c r="S330" i="2" s="1"/>
  <c r="L331" i="2"/>
  <c r="S331" i="2" s="1"/>
  <c r="L332" i="2"/>
  <c r="S332" i="2" s="1"/>
  <c r="L333" i="2"/>
  <c r="S333" i="2" s="1"/>
  <c r="L334" i="2"/>
  <c r="S334" i="2" s="1"/>
  <c r="L335" i="2"/>
  <c r="S335" i="2" s="1"/>
  <c r="L337" i="2"/>
  <c r="S337" i="2" s="1"/>
  <c r="L338" i="2"/>
  <c r="S338" i="2" s="1"/>
  <c r="L339" i="2"/>
  <c r="S339" i="2" s="1"/>
  <c r="L340" i="2"/>
  <c r="S340" i="2" s="1"/>
  <c r="L341" i="2"/>
  <c r="S341" i="2" s="1"/>
  <c r="L342" i="2"/>
  <c r="S342" i="2" s="1"/>
  <c r="L343" i="2"/>
  <c r="S343" i="2" s="1"/>
  <c r="L344" i="2"/>
  <c r="S344" i="2" s="1"/>
  <c r="L345" i="2"/>
  <c r="S345" i="2" s="1"/>
  <c r="L346" i="2"/>
  <c r="S346" i="2" s="1"/>
  <c r="L348" i="2"/>
  <c r="S348" i="2" s="1"/>
  <c r="L349" i="2"/>
  <c r="S349" i="2" s="1"/>
  <c r="L350" i="2"/>
  <c r="S350" i="2" s="1"/>
  <c r="L351" i="2"/>
  <c r="S351" i="2" s="1"/>
  <c r="L352" i="2"/>
  <c r="S352" i="2" s="1"/>
  <c r="L359" i="2"/>
  <c r="S359" i="2" s="1"/>
  <c r="L360" i="2"/>
  <c r="S360" i="2" s="1"/>
  <c r="L361" i="2"/>
  <c r="S361" i="2" s="1"/>
  <c r="L362" i="2"/>
  <c r="S362" i="2" s="1"/>
  <c r="L363" i="2"/>
  <c r="S363" i="2" s="1"/>
  <c r="L364" i="2"/>
  <c r="S364" i="2" s="1"/>
  <c r="L365" i="2"/>
  <c r="S365" i="2" s="1"/>
  <c r="L366" i="2"/>
  <c r="S366" i="2" s="1"/>
  <c r="L377" i="2"/>
  <c r="S377" i="2" s="1"/>
  <c r="L381" i="2"/>
  <c r="S381" i="2" s="1"/>
  <c r="L382" i="2"/>
  <c r="S382" i="2" s="1"/>
  <c r="L383" i="2"/>
  <c r="S383" i="2" s="1"/>
  <c r="L384" i="2"/>
  <c r="S384" i="2" s="1"/>
  <c r="L385" i="2"/>
  <c r="S385" i="2" s="1"/>
  <c r="L386" i="2"/>
  <c r="S386" i="2" s="1"/>
  <c r="L387" i="2"/>
  <c r="S387" i="2" s="1"/>
  <c r="L367" i="2"/>
  <c r="S367" i="2" s="1"/>
  <c r="L368" i="2"/>
  <c r="S368" i="2" s="1"/>
  <c r="L369" i="2"/>
  <c r="S369" i="2" s="1"/>
  <c r="L370" i="2"/>
  <c r="S370" i="2" s="1"/>
  <c r="L371" i="2"/>
  <c r="S371" i="2" s="1"/>
  <c r="L372" i="2"/>
  <c r="S372" i="2" s="1"/>
  <c r="L373" i="2"/>
  <c r="S373" i="2" s="1"/>
  <c r="L374" i="2"/>
  <c r="S374" i="2" s="1"/>
  <c r="L375" i="2"/>
  <c r="S375" i="2" s="1"/>
  <c r="L376" i="2"/>
  <c r="S376" i="2" s="1"/>
  <c r="L378" i="2"/>
  <c r="S378" i="2" s="1"/>
  <c r="L379" i="2"/>
  <c r="S379" i="2" s="1"/>
  <c r="L380" i="2"/>
  <c r="S380" i="2" s="1"/>
  <c r="L388" i="2"/>
  <c r="S388" i="2" s="1"/>
  <c r="L398" i="2"/>
  <c r="S398" i="2" s="1"/>
  <c r="L402" i="2"/>
  <c r="S402" i="2" s="1"/>
  <c r="L403" i="2"/>
  <c r="S403" i="2" s="1"/>
  <c r="L404" i="2"/>
  <c r="S404" i="2" s="1"/>
  <c r="L405" i="2"/>
  <c r="S405" i="2" s="1"/>
  <c r="L406" i="2"/>
  <c r="S406" i="2" s="1"/>
  <c r="L407" i="2"/>
  <c r="S407" i="2" s="1"/>
  <c r="L408" i="2"/>
  <c r="S408" i="2" s="1"/>
  <c r="L389" i="2"/>
  <c r="S389" i="2" s="1"/>
  <c r="L390" i="2"/>
  <c r="S390" i="2" s="1"/>
  <c r="L391" i="2"/>
  <c r="S391" i="2" s="1"/>
  <c r="L392" i="2"/>
  <c r="S392" i="2" s="1"/>
  <c r="L393" i="2"/>
  <c r="S393" i="2" s="1"/>
  <c r="L394" i="2"/>
  <c r="S394" i="2" s="1"/>
  <c r="L395" i="2"/>
  <c r="S395" i="2" s="1"/>
  <c r="L396" i="2"/>
  <c r="S396" i="2" s="1"/>
  <c r="L397" i="2"/>
  <c r="S397" i="2" s="1"/>
  <c r="L399" i="2"/>
  <c r="S399" i="2" s="1"/>
  <c r="L400" i="2"/>
  <c r="S400" i="2" s="1"/>
  <c r="L401" i="2"/>
  <c r="S401" i="2" s="1"/>
  <c r="L409" i="2"/>
  <c r="S409" i="2" s="1"/>
  <c r="L420" i="2"/>
  <c r="S420" i="2" s="1"/>
  <c r="L431" i="2"/>
  <c r="S431" i="2" s="1"/>
  <c r="L434" i="2"/>
  <c r="S434" i="2" s="1"/>
  <c r="L435" i="2"/>
  <c r="S435" i="2" s="1"/>
  <c r="L436" i="2"/>
  <c r="S436" i="2" s="1"/>
  <c r="L437" i="2"/>
  <c r="S437" i="2" s="1"/>
  <c r="L438" i="2"/>
  <c r="S438" i="2" s="1"/>
  <c r="L439" i="2"/>
  <c r="S439" i="2" s="1"/>
  <c r="L410" i="2"/>
  <c r="S410" i="2" s="1"/>
  <c r="L411" i="2"/>
  <c r="S411" i="2" s="1"/>
  <c r="L412" i="2"/>
  <c r="S412" i="2" s="1"/>
  <c r="L413" i="2"/>
  <c r="S413" i="2" s="1"/>
  <c r="L414" i="2"/>
  <c r="S414" i="2" s="1"/>
  <c r="L415" i="2"/>
  <c r="S415" i="2" s="1"/>
  <c r="L416" i="2"/>
  <c r="S416" i="2" s="1"/>
  <c r="L417" i="2"/>
  <c r="S417" i="2" s="1"/>
  <c r="L418" i="2"/>
  <c r="S418" i="2" s="1"/>
  <c r="L419" i="2"/>
  <c r="S419" i="2" s="1"/>
  <c r="L421" i="2"/>
  <c r="S421" i="2" s="1"/>
  <c r="L422" i="2"/>
  <c r="S422" i="2" s="1"/>
  <c r="L423" i="2"/>
  <c r="S423" i="2" s="1"/>
  <c r="L424" i="2"/>
  <c r="S424" i="2" s="1"/>
  <c r="L425" i="2"/>
  <c r="S425" i="2" s="1"/>
  <c r="L426" i="2"/>
  <c r="S426" i="2" s="1"/>
  <c r="L427" i="2"/>
  <c r="S427" i="2" s="1"/>
  <c r="L428" i="2"/>
  <c r="S428" i="2" s="1"/>
  <c r="L429" i="2"/>
  <c r="S429" i="2" s="1"/>
  <c r="L430" i="2"/>
  <c r="S430" i="2" s="1"/>
  <c r="L432" i="2"/>
  <c r="S432" i="2" s="1"/>
  <c r="L433" i="2"/>
  <c r="S433" i="2" s="1"/>
  <c r="L440" i="2"/>
  <c r="S440" i="2" s="1"/>
  <c r="L452" i="2"/>
  <c r="S452" i="2" s="1"/>
  <c r="L454" i="2"/>
  <c r="S454" i="2" s="1"/>
  <c r="L455" i="2"/>
  <c r="S455" i="2" s="1"/>
  <c r="L456" i="2"/>
  <c r="S456" i="2" s="1"/>
  <c r="L457" i="2"/>
  <c r="S457" i="2" s="1"/>
  <c r="L458" i="2"/>
  <c r="S458" i="2" s="1"/>
  <c r="L459" i="2"/>
  <c r="S459" i="2" s="1"/>
  <c r="L460" i="2"/>
  <c r="S460" i="2" s="1"/>
  <c r="L441" i="2"/>
  <c r="S441" i="2" s="1"/>
  <c r="L442" i="2"/>
  <c r="S442" i="2" s="1"/>
  <c r="L443" i="2"/>
  <c r="S443" i="2" s="1"/>
  <c r="L444" i="2"/>
  <c r="S444" i="2" s="1"/>
  <c r="L445" i="2"/>
  <c r="S445" i="2" s="1"/>
  <c r="L446" i="2"/>
  <c r="S446" i="2" s="1"/>
  <c r="L447" i="2"/>
  <c r="S447" i="2" s="1"/>
  <c r="L448" i="2"/>
  <c r="S448" i="2" s="1"/>
  <c r="L449" i="2"/>
  <c r="S449" i="2" s="1"/>
  <c r="L450" i="2"/>
  <c r="S450" i="2" s="1"/>
  <c r="L451" i="2"/>
  <c r="S451" i="2" s="1"/>
  <c r="L453" i="2"/>
  <c r="S453" i="2" s="1"/>
  <c r="L703" i="2"/>
  <c r="S703" i="2" s="1"/>
  <c r="L714" i="2"/>
  <c r="S714" i="2" s="1"/>
  <c r="L718" i="2"/>
  <c r="S718" i="2" s="1"/>
  <c r="L719" i="2"/>
  <c r="S719" i="2" s="1"/>
  <c r="L720" i="2"/>
  <c r="S720" i="2" s="1"/>
  <c r="L721" i="2"/>
  <c r="S721" i="2" s="1"/>
  <c r="L722" i="2"/>
  <c r="S722" i="2" s="1"/>
  <c r="L723" i="2"/>
  <c r="S723" i="2" s="1"/>
  <c r="L724" i="2"/>
  <c r="S724" i="2" s="1"/>
  <c r="L704" i="2"/>
  <c r="S704" i="2" s="1"/>
  <c r="L705" i="2"/>
  <c r="S705" i="2" s="1"/>
  <c r="L706" i="2"/>
  <c r="S706" i="2" s="1"/>
  <c r="L707" i="2"/>
  <c r="S707" i="2" s="1"/>
  <c r="L708" i="2"/>
  <c r="S708" i="2" s="1"/>
  <c r="L709" i="2"/>
  <c r="S709" i="2" s="1"/>
  <c r="L710" i="2"/>
  <c r="S710" i="2" s="1"/>
  <c r="L711" i="2"/>
  <c r="S711" i="2" s="1"/>
  <c r="L712" i="2"/>
  <c r="S712" i="2" s="1"/>
  <c r="L713" i="2"/>
  <c r="S713" i="2" s="1"/>
  <c r="L715" i="2"/>
  <c r="S715" i="2" s="1"/>
  <c r="L716" i="2"/>
  <c r="S716" i="2" s="1"/>
  <c r="S717" i="2"/>
  <c r="L461" i="2"/>
  <c r="S461" i="2" s="1"/>
  <c r="L472" i="2"/>
  <c r="S472" i="2" s="1"/>
  <c r="L483" i="2"/>
  <c r="S483" i="2" s="1"/>
  <c r="L494" i="2"/>
  <c r="S494" i="2" s="1"/>
  <c r="L504" i="2"/>
  <c r="S504" i="2" s="1"/>
  <c r="L515" i="2"/>
  <c r="S515" i="2" s="1"/>
  <c r="L516" i="2"/>
  <c r="S516" i="2" s="1"/>
  <c r="L517" i="2"/>
  <c r="S517" i="2" s="1"/>
  <c r="L518" i="2"/>
  <c r="S518" i="2" s="1"/>
  <c r="L462" i="2"/>
  <c r="S462" i="2" s="1"/>
  <c r="L463" i="2"/>
  <c r="S463" i="2" s="1"/>
  <c r="L464" i="2"/>
  <c r="S464" i="2" s="1"/>
  <c r="L465" i="2"/>
  <c r="S465" i="2" s="1"/>
  <c r="L466" i="2"/>
  <c r="S466" i="2" s="1"/>
  <c r="L467" i="2"/>
  <c r="S467" i="2" s="1"/>
  <c r="L468" i="2"/>
  <c r="S468" i="2" s="1"/>
  <c r="L469" i="2"/>
  <c r="S469" i="2" s="1"/>
  <c r="L470" i="2"/>
  <c r="S470" i="2" s="1"/>
  <c r="L471" i="2"/>
  <c r="S471" i="2" s="1"/>
  <c r="L473" i="2"/>
  <c r="S473" i="2" s="1"/>
  <c r="L474" i="2"/>
  <c r="S474" i="2" s="1"/>
  <c r="L475" i="2"/>
  <c r="S475" i="2" s="1"/>
  <c r="L476" i="2"/>
  <c r="S476" i="2" s="1"/>
  <c r="L477" i="2"/>
  <c r="S477" i="2" s="1"/>
  <c r="L478" i="2"/>
  <c r="S478" i="2" s="1"/>
  <c r="L479" i="2"/>
  <c r="S479" i="2" s="1"/>
  <c r="L480" i="2"/>
  <c r="S480" i="2" s="1"/>
  <c r="L481" i="2"/>
  <c r="S481" i="2" s="1"/>
  <c r="L482" i="2"/>
  <c r="S482" i="2" s="1"/>
  <c r="L484" i="2"/>
  <c r="S484" i="2" s="1"/>
  <c r="L485" i="2"/>
  <c r="S485" i="2" s="1"/>
  <c r="L486" i="2"/>
  <c r="S486" i="2" s="1"/>
  <c r="L487" i="2"/>
  <c r="S487" i="2" s="1"/>
  <c r="L488" i="2"/>
  <c r="S488" i="2" s="1"/>
  <c r="L489" i="2"/>
  <c r="S489" i="2" s="1"/>
  <c r="L490" i="2"/>
  <c r="S490" i="2" s="1"/>
  <c r="L491" i="2"/>
  <c r="S491" i="2" s="1"/>
  <c r="L492" i="2"/>
  <c r="S492" i="2" s="1"/>
  <c r="L493" i="2"/>
  <c r="S493" i="2" s="1"/>
  <c r="L495" i="2"/>
  <c r="S495" i="2" s="1"/>
  <c r="L496" i="2"/>
  <c r="S496" i="2" s="1"/>
  <c r="L497" i="2"/>
  <c r="S497" i="2" s="1"/>
  <c r="L498" i="2"/>
  <c r="S498" i="2" s="1"/>
  <c r="L499" i="2"/>
  <c r="S499" i="2" s="1"/>
  <c r="L500" i="2"/>
  <c r="S500" i="2" s="1"/>
  <c r="L501" i="2"/>
  <c r="S501" i="2" s="1"/>
  <c r="L502" i="2"/>
  <c r="S502" i="2" s="1"/>
  <c r="L503" i="2"/>
  <c r="S503" i="2" s="1"/>
  <c r="L505" i="2"/>
  <c r="S505" i="2" s="1"/>
  <c r="L506" i="2"/>
  <c r="S506" i="2" s="1"/>
  <c r="L507" i="2"/>
  <c r="S507" i="2" s="1"/>
  <c r="L508" i="2"/>
  <c r="S508" i="2" s="1"/>
  <c r="L509" i="2"/>
  <c r="S509" i="2" s="1"/>
  <c r="L510" i="2"/>
  <c r="S510" i="2" s="1"/>
  <c r="L511" i="2"/>
  <c r="S511" i="2" s="1"/>
  <c r="L512" i="2"/>
  <c r="S512" i="2" s="1"/>
  <c r="L513" i="2"/>
  <c r="S513" i="2" s="1"/>
  <c r="L514" i="2"/>
  <c r="S514" i="2" s="1"/>
  <c r="L804" i="2"/>
  <c r="S804" i="2" s="1"/>
  <c r="L805" i="2"/>
  <c r="S805" i="2" s="1"/>
  <c r="L806" i="2"/>
  <c r="S806" i="2" s="1"/>
  <c r="L807" i="2"/>
  <c r="S807" i="2" s="1"/>
  <c r="L808" i="2"/>
  <c r="S808" i="2" s="1"/>
  <c r="L809" i="2"/>
  <c r="S809" i="2" s="1"/>
  <c r="L810" i="2"/>
  <c r="S810" i="2" s="1"/>
  <c r="L811" i="2"/>
  <c r="S811" i="2" s="1"/>
  <c r="L812" i="2"/>
  <c r="S812" i="2" s="1"/>
  <c r="L813" i="2"/>
  <c r="S813" i="2" s="1"/>
  <c r="L814" i="2"/>
  <c r="S814" i="2" s="1"/>
  <c r="L815" i="2"/>
  <c r="S815" i="2" s="1"/>
  <c r="L816" i="2"/>
  <c r="S816" i="2" s="1"/>
  <c r="L817" i="2"/>
  <c r="S817" i="2" s="1"/>
  <c r="L818" i="2"/>
  <c r="S818" i="2" s="1"/>
  <c r="L819" i="2"/>
  <c r="S819" i="2" s="1"/>
  <c r="L820" i="2"/>
  <c r="S820" i="2" s="1"/>
  <c r="L821" i="2"/>
  <c r="S821" i="2" s="1"/>
  <c r="L822" i="2"/>
  <c r="S822" i="2" s="1"/>
  <c r="L823" i="2"/>
  <c r="S823" i="2" s="1"/>
  <c r="L824" i="2"/>
  <c r="S824" i="2" s="1"/>
  <c r="L825" i="2"/>
  <c r="S825" i="2" s="1"/>
  <c r="L826" i="2"/>
  <c r="S826" i="2" s="1"/>
  <c r="L827" i="2"/>
  <c r="S827" i="2" s="1"/>
  <c r="L828" i="2"/>
  <c r="S828" i="2" s="1"/>
  <c r="L829" i="2"/>
  <c r="S829" i="2" s="1"/>
  <c r="L830" i="2"/>
  <c r="S830" i="2" s="1"/>
  <c r="L831" i="2"/>
  <c r="S831" i="2" s="1"/>
  <c r="L832" i="2"/>
  <c r="S832" i="2" s="1"/>
  <c r="L833" i="2"/>
  <c r="S833" i="2" s="1"/>
  <c r="L834" i="2"/>
  <c r="S834" i="2" s="1"/>
  <c r="L835" i="2"/>
  <c r="S835" i="2" s="1"/>
  <c r="L836" i="2"/>
  <c r="S836" i="2" s="1"/>
  <c r="L837" i="2"/>
  <c r="S837" i="2" s="1"/>
  <c r="L838" i="2"/>
  <c r="S838" i="2" s="1"/>
  <c r="L839" i="2"/>
  <c r="S839" i="2" s="1"/>
  <c r="L840" i="2"/>
  <c r="S840" i="2" s="1"/>
  <c r="L841" i="2"/>
  <c r="S841" i="2" s="1"/>
  <c r="L842" i="2"/>
  <c r="S842" i="2" s="1"/>
  <c r="L843" i="2"/>
  <c r="S843" i="2" s="1"/>
  <c r="L844" i="2"/>
  <c r="S844" i="2" s="1"/>
  <c r="L845" i="2"/>
  <c r="S845" i="2" s="1"/>
  <c r="L725" i="2"/>
  <c r="S725" i="2" s="1"/>
  <c r="L726" i="2"/>
  <c r="S726" i="2" s="1"/>
  <c r="L727" i="2"/>
  <c r="S727" i="2" s="1"/>
  <c r="L728" i="2"/>
  <c r="S728" i="2" s="1"/>
  <c r="L729" i="2"/>
  <c r="S729" i="2" s="1"/>
  <c r="L730" i="2"/>
  <c r="S730" i="2" s="1"/>
  <c r="L731" i="2"/>
  <c r="S731" i="2" s="1"/>
  <c r="L732" i="2"/>
  <c r="S732" i="2" s="1"/>
  <c r="L733" i="2"/>
  <c r="S733" i="2" s="1"/>
  <c r="L734" i="2"/>
  <c r="S734" i="2" s="1"/>
  <c r="L735" i="2"/>
  <c r="S735" i="2" s="1"/>
  <c r="L736" i="2"/>
  <c r="S736" i="2" s="1"/>
  <c r="L737" i="2"/>
  <c r="S737" i="2" s="1"/>
  <c r="L738" i="2"/>
  <c r="S738" i="2" s="1"/>
  <c r="L739" i="2"/>
  <c r="S739" i="2" s="1"/>
  <c r="L740" i="2"/>
  <c r="S740" i="2" s="1"/>
  <c r="L741" i="2"/>
  <c r="S741" i="2" s="1"/>
  <c r="L742" i="2"/>
  <c r="S742" i="2" s="1"/>
  <c r="L743" i="2"/>
  <c r="S743" i="2" s="1"/>
  <c r="L744" i="2"/>
  <c r="S744" i="2" s="1"/>
  <c r="L745" i="2"/>
  <c r="S745" i="2" s="1"/>
  <c r="L746" i="2"/>
  <c r="S746" i="2" s="1"/>
  <c r="L747" i="2"/>
  <c r="S747" i="2" s="1"/>
  <c r="L748" i="2"/>
  <c r="S748" i="2" s="1"/>
  <c r="L749" i="2"/>
  <c r="S749" i="2" s="1"/>
  <c r="L750" i="2"/>
  <c r="S750" i="2" s="1"/>
  <c r="L751" i="2"/>
  <c r="S751" i="2" s="1"/>
  <c r="L752" i="2"/>
  <c r="S752" i="2" s="1"/>
  <c r="L753" i="2"/>
  <c r="S753" i="2" s="1"/>
  <c r="L754" i="2"/>
  <c r="S754" i="2" s="1"/>
  <c r="L755" i="2"/>
  <c r="S755" i="2" s="1"/>
  <c r="L756" i="2"/>
  <c r="S756" i="2" s="1"/>
  <c r="L757" i="2"/>
  <c r="S757" i="2" s="1"/>
  <c r="L758" i="2"/>
  <c r="S758" i="2" s="1"/>
  <c r="L759" i="2"/>
  <c r="S759" i="2" s="1"/>
  <c r="L760" i="2"/>
  <c r="S760" i="2" s="1"/>
  <c r="L761" i="2"/>
  <c r="S761" i="2" s="1"/>
  <c r="L762" i="2"/>
  <c r="S762" i="2" s="1"/>
  <c r="L763" i="2"/>
  <c r="S763" i="2" s="1"/>
  <c r="L764" i="2"/>
  <c r="S764" i="2" s="1"/>
  <c r="L765" i="2"/>
  <c r="S765" i="2" s="1"/>
  <c r="L766" i="2"/>
  <c r="S766" i="2" s="1"/>
  <c r="L767" i="2"/>
  <c r="S767" i="2" s="1"/>
  <c r="L768" i="2"/>
  <c r="S768" i="2" s="1"/>
  <c r="L769" i="2"/>
  <c r="S769" i="2" s="1"/>
  <c r="L770" i="2"/>
  <c r="S770" i="2" s="1"/>
  <c r="L771" i="2"/>
  <c r="S771" i="2" s="1"/>
  <c r="L772" i="2"/>
  <c r="S772" i="2" s="1"/>
  <c r="L773" i="2"/>
  <c r="S773" i="2" s="1"/>
  <c r="L774" i="2"/>
  <c r="S774" i="2" s="1"/>
  <c r="L775" i="2"/>
  <c r="S775" i="2" s="1"/>
  <c r="L776" i="2"/>
  <c r="S776" i="2" s="1"/>
  <c r="L777" i="2"/>
  <c r="S777" i="2" s="1"/>
  <c r="L778" i="2"/>
  <c r="S778" i="2" s="1"/>
  <c r="L779" i="2"/>
  <c r="S779" i="2" s="1"/>
  <c r="L846" i="2"/>
  <c r="S846" i="2" s="1"/>
  <c r="L847" i="2"/>
  <c r="S847" i="2" s="1"/>
  <c r="L848" i="2"/>
  <c r="S848" i="2" s="1"/>
  <c r="L849" i="2"/>
  <c r="S849" i="2" s="1"/>
  <c r="L850" i="2"/>
  <c r="S850" i="2" s="1"/>
  <c r="L780" i="2"/>
  <c r="S780" i="2" s="1"/>
  <c r="L851" i="2"/>
  <c r="S851" i="2" s="1"/>
  <c r="L852" i="2"/>
  <c r="S852" i="2" s="1"/>
  <c r="L853" i="2"/>
  <c r="S853" i="2" s="1"/>
  <c r="L854" i="2"/>
  <c r="S854" i="2" s="1"/>
  <c r="L855" i="2"/>
  <c r="S855" i="2" s="1"/>
  <c r="L856" i="2"/>
  <c r="S856" i="2" s="1"/>
  <c r="L857" i="2"/>
  <c r="S857" i="2" s="1"/>
  <c r="L858" i="2"/>
  <c r="S858" i="2" s="1"/>
  <c r="L859" i="2"/>
  <c r="S859" i="2" s="1"/>
  <c r="L860" i="2"/>
  <c r="S860" i="2" s="1"/>
  <c r="L861" i="2"/>
  <c r="S861" i="2" s="1"/>
  <c r="L862" i="2"/>
  <c r="S862" i="2" s="1"/>
  <c r="L863" i="2"/>
  <c r="S863" i="2" s="1"/>
  <c r="L864" i="2"/>
  <c r="S864" i="2" s="1"/>
  <c r="L865" i="2"/>
  <c r="S865" i="2" s="1"/>
  <c r="L866" i="2"/>
  <c r="S866" i="2" s="1"/>
  <c r="L867" i="2"/>
  <c r="S867" i="2" s="1"/>
  <c r="L868" i="2"/>
  <c r="S868" i="2" s="1"/>
  <c r="L869" i="2"/>
  <c r="S869" i="2" s="1"/>
  <c r="L870" i="2"/>
  <c r="S870" i="2" s="1"/>
  <c r="L871" i="2"/>
  <c r="S871" i="2" s="1"/>
  <c r="L872" i="2"/>
  <c r="S872" i="2" s="1"/>
  <c r="L873" i="2"/>
  <c r="S873" i="2" s="1"/>
  <c r="L781" i="2"/>
  <c r="S781" i="2" s="1"/>
  <c r="L874" i="2"/>
  <c r="S874" i="2" s="1"/>
  <c r="L875" i="2"/>
  <c r="S875" i="2" s="1"/>
  <c r="L782" i="2"/>
  <c r="S782" i="2" s="1"/>
  <c r="L876" i="2"/>
  <c r="S876" i="2" s="1"/>
  <c r="L783" i="2"/>
  <c r="S783" i="2" s="1"/>
  <c r="L877" i="2"/>
  <c r="S877" i="2" s="1"/>
  <c r="L878" i="2"/>
  <c r="S878" i="2" s="1"/>
  <c r="L784" i="2"/>
  <c r="S784" i="2" s="1"/>
  <c r="L879" i="2"/>
  <c r="S879" i="2" s="1"/>
  <c r="L785" i="2"/>
  <c r="S785" i="2" s="1"/>
  <c r="L880" i="2"/>
  <c r="S880" i="2" s="1"/>
  <c r="L786" i="2"/>
  <c r="S786" i="2" s="1"/>
  <c r="L787" i="2"/>
  <c r="S787" i="2" s="1"/>
  <c r="L881" i="2"/>
  <c r="S881" i="2" s="1"/>
  <c r="L788" i="2"/>
  <c r="S788" i="2" s="1"/>
  <c r="L789" i="2"/>
  <c r="S789" i="2" s="1"/>
  <c r="L790" i="2"/>
  <c r="S790" i="2" s="1"/>
  <c r="L791" i="2"/>
  <c r="S791" i="2" s="1"/>
  <c r="L882" i="2"/>
  <c r="S882" i="2" s="1"/>
  <c r="L883" i="2"/>
  <c r="S883" i="2" s="1"/>
  <c r="L792" i="2"/>
  <c r="S792" i="2" s="1"/>
  <c r="L793" i="2"/>
  <c r="S793" i="2" s="1"/>
  <c r="L884" i="2"/>
  <c r="S884" i="2" s="1"/>
  <c r="L794" i="2"/>
  <c r="S794" i="2" s="1"/>
  <c r="L795" i="2"/>
  <c r="S795" i="2" s="1"/>
  <c r="L796" i="2"/>
  <c r="S796" i="2" s="1"/>
  <c r="L797" i="2"/>
  <c r="S797" i="2" s="1"/>
  <c r="L798" i="2"/>
  <c r="S798" i="2" s="1"/>
  <c r="L885" i="2"/>
  <c r="S885" i="2" s="1"/>
  <c r="L886" i="2"/>
  <c r="S886" i="2" s="1"/>
  <c r="L799" i="2"/>
  <c r="S799" i="2" s="1"/>
  <c r="L800" i="2"/>
  <c r="S800" i="2" s="1"/>
  <c r="L801" i="2"/>
  <c r="S801" i="2" s="1"/>
  <c r="L802" i="2"/>
  <c r="S802" i="2" s="1"/>
  <c r="L803" i="2"/>
  <c r="S803" i="2" s="1"/>
  <c r="G13" i="39" l="1"/>
  <c r="I13" i="39" s="1"/>
  <c r="G39" i="39"/>
  <c r="I39" i="39" s="1"/>
  <c r="G35" i="39"/>
  <c r="I35" i="39" s="1"/>
  <c r="G33" i="39"/>
  <c r="I33" i="39" s="1"/>
  <c r="G26" i="39"/>
  <c r="I26" i="39" s="1"/>
  <c r="G40" i="39"/>
  <c r="I40" i="39" s="1"/>
  <c r="G36" i="39"/>
  <c r="I36" i="39" s="1"/>
  <c r="G20" i="39"/>
  <c r="I20" i="39" s="1"/>
  <c r="G15" i="39"/>
  <c r="I15" i="39" s="1"/>
  <c r="G29" i="39"/>
  <c r="I29" i="39" s="1"/>
  <c r="G34" i="39"/>
  <c r="I34" i="39" s="1"/>
  <c r="G19" i="39"/>
  <c r="I19" i="39" s="1"/>
  <c r="G22" i="39"/>
  <c r="I22" i="39" s="1"/>
  <c r="G18" i="39"/>
  <c r="I18" i="39" s="1"/>
  <c r="G16" i="39"/>
  <c r="I16" i="39" s="1"/>
  <c r="G27" i="39"/>
  <c r="I27" i="39" s="1"/>
  <c r="G23" i="39"/>
  <c r="I23" i="39" s="1"/>
  <c r="G37" i="39"/>
  <c r="I37" i="39" s="1"/>
  <c r="G28" i="39"/>
  <c r="I28" i="39" s="1"/>
  <c r="G25" i="39"/>
  <c r="I25" i="39" s="1"/>
  <c r="G38" i="39"/>
  <c r="I38" i="39" s="1"/>
  <c r="G30" i="39"/>
  <c r="I30" i="39" s="1"/>
  <c r="G21" i="39"/>
  <c r="I21" i="39" s="1"/>
  <c r="G32" i="39"/>
  <c r="I32" i="39" s="1"/>
  <c r="G31" i="39"/>
  <c r="I31" i="39" s="1"/>
  <c r="G14" i="39"/>
  <c r="I14" i="39" s="1"/>
  <c r="G24" i="39"/>
  <c r="I24" i="39" s="1"/>
  <c r="G17" i="39"/>
  <c r="I17" i="39" s="1"/>
  <c r="N39" i="18" l="1"/>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L69" i="2" l="1"/>
  <c r="S69" i="2" s="1"/>
  <c r="L80" i="2"/>
  <c r="S80" i="2" s="1"/>
  <c r="L85" i="2"/>
  <c r="S85" i="2" s="1"/>
  <c r="L86" i="2"/>
  <c r="S86" i="2" s="1"/>
  <c r="L87" i="2"/>
  <c r="S87" i="2" s="1"/>
  <c r="L88" i="2"/>
  <c r="S88" i="2" s="1"/>
  <c r="L89" i="2"/>
  <c r="S89" i="2" s="1"/>
  <c r="L90" i="2"/>
  <c r="S90" i="2" s="1"/>
  <c r="L91" i="2"/>
  <c r="S91" i="2" s="1"/>
  <c r="L70" i="2"/>
  <c r="S70" i="2" s="1"/>
  <c r="L71" i="2"/>
  <c r="S71" i="2" s="1"/>
  <c r="L72" i="2"/>
  <c r="S72" i="2" s="1"/>
  <c r="L73" i="2"/>
  <c r="S73" i="2" s="1"/>
  <c r="L74" i="2"/>
  <c r="S74" i="2" s="1"/>
  <c r="L75" i="2"/>
  <c r="S75" i="2" s="1"/>
  <c r="L76" i="2"/>
  <c r="S76" i="2" s="1"/>
  <c r="L77" i="2"/>
  <c r="S77" i="2" s="1"/>
  <c r="L78" i="2"/>
  <c r="S78" i="2" s="1"/>
  <c r="L79" i="2"/>
  <c r="S79" i="2" s="1"/>
  <c r="L81" i="2"/>
  <c r="S81" i="2" s="1"/>
  <c r="L82" i="2"/>
  <c r="S82" i="2" s="1"/>
  <c r="L83" i="2"/>
  <c r="S83" i="2" s="1"/>
  <c r="L84" i="2"/>
  <c r="S84" i="2" s="1"/>
  <c r="L92" i="2"/>
  <c r="S92" i="2" s="1"/>
  <c r="L103" i="2"/>
  <c r="S103" i="2" s="1"/>
  <c r="L107" i="2"/>
  <c r="S107" i="2" s="1"/>
  <c r="L108" i="2"/>
  <c r="S108" i="2" s="1"/>
  <c r="L109" i="2"/>
  <c r="S109" i="2" s="1"/>
  <c r="L110" i="2"/>
  <c r="S110" i="2" s="1"/>
  <c r="L111" i="2"/>
  <c r="S111" i="2" s="1"/>
  <c r="L112" i="2"/>
  <c r="S112" i="2" s="1"/>
  <c r="L113" i="2"/>
  <c r="S113" i="2" s="1"/>
  <c r="L93" i="2"/>
  <c r="S93" i="2" s="1"/>
  <c r="L94" i="2"/>
  <c r="S94" i="2" s="1"/>
  <c r="L95" i="2"/>
  <c r="S95" i="2" s="1"/>
  <c r="L96" i="2"/>
  <c r="S96" i="2" s="1"/>
  <c r="L97" i="2"/>
  <c r="S97" i="2" s="1"/>
  <c r="L98" i="2"/>
  <c r="S98" i="2" s="1"/>
  <c r="L99" i="2"/>
  <c r="S99" i="2" s="1"/>
  <c r="L100" i="2"/>
  <c r="S100" i="2" s="1"/>
  <c r="L101" i="2"/>
  <c r="S101" i="2" s="1"/>
  <c r="L102" i="2"/>
  <c r="S102" i="2" s="1"/>
  <c r="L104" i="2"/>
  <c r="S104" i="2" s="1"/>
  <c r="L105" i="2"/>
  <c r="S105" i="2" s="1"/>
  <c r="L106" i="2"/>
  <c r="S106" i="2" s="1"/>
  <c r="L12" i="2"/>
  <c r="S12" i="2" s="1"/>
  <c r="L13" i="2"/>
  <c r="S13" i="2" s="1"/>
  <c r="L14" i="2"/>
  <c r="S14" i="2" s="1"/>
  <c r="L15" i="2"/>
  <c r="S15" i="2" s="1"/>
  <c r="L16" i="2"/>
  <c r="S16" i="2" s="1"/>
  <c r="L17" i="2"/>
  <c r="S17" i="2" s="1"/>
  <c r="L18" i="2"/>
  <c r="S18" i="2" s="1"/>
  <c r="L19" i="2"/>
  <c r="S19" i="2" s="1"/>
  <c r="L20" i="2"/>
  <c r="S20" i="2" s="1"/>
  <c r="L21" i="2"/>
  <c r="S21" i="2" s="1"/>
  <c r="L10" i="2"/>
  <c r="S10" i="2" s="1"/>
  <c r="L22" i="2"/>
  <c r="S22" i="2" s="1"/>
  <c r="L11" i="2"/>
  <c r="S11" i="2" s="1"/>
  <c r="L23" i="2"/>
  <c r="S23" i="2" s="1"/>
  <c r="L24" i="2"/>
  <c r="S24" i="2" s="1"/>
  <c r="L25" i="2"/>
  <c r="S25" i="2" s="1"/>
  <c r="L26" i="2"/>
  <c r="S26" i="2" s="1"/>
  <c r="L27" i="2"/>
  <c r="S27" i="2" s="1"/>
  <c r="L28" i="2"/>
  <c r="S28" i="2" s="1"/>
  <c r="L29" i="2"/>
  <c r="S29" i="2" s="1"/>
  <c r="L30" i="2"/>
  <c r="S30" i="2" s="1"/>
  <c r="L31" i="2"/>
  <c r="S31" i="2" s="1"/>
  <c r="L32" i="2"/>
  <c r="S32" i="2" s="1"/>
  <c r="L33" i="2"/>
  <c r="S33" i="2" s="1"/>
  <c r="L34" i="2"/>
  <c r="S34" i="2" s="1"/>
  <c r="L35" i="2"/>
  <c r="S35" i="2" s="1"/>
  <c r="L36" i="2"/>
  <c r="S36" i="2" s="1"/>
  <c r="L37" i="2"/>
  <c r="S37" i="2" s="1"/>
  <c r="L38" i="2"/>
  <c r="S38" i="2" s="1"/>
  <c r="L39" i="2"/>
  <c r="S39" i="2" s="1"/>
  <c r="L40" i="2"/>
  <c r="S40" i="2" s="1"/>
  <c r="L41" i="2"/>
  <c r="S41" i="2" s="1"/>
  <c r="L42" i="2"/>
  <c r="S42" i="2" s="1"/>
  <c r="L43" i="2"/>
  <c r="S43" i="2" s="1"/>
  <c r="L44" i="2"/>
  <c r="S44" i="2" s="1"/>
  <c r="L45" i="2"/>
  <c r="S45" i="2" s="1"/>
  <c r="L46" i="2"/>
  <c r="S46" i="2" s="1"/>
  <c r="L47" i="2"/>
  <c r="S47" i="2" s="1"/>
  <c r="L48" i="2"/>
  <c r="S48" i="2" s="1"/>
  <c r="L49" i="2"/>
  <c r="S49" i="2" s="1"/>
  <c r="L50" i="2"/>
  <c r="S50" i="2" s="1"/>
  <c r="L51" i="2"/>
  <c r="S51" i="2" s="1"/>
  <c r="L52" i="2"/>
  <c r="S52" i="2" s="1"/>
  <c r="L53" i="2"/>
  <c r="S53" i="2" s="1"/>
  <c r="L54" i="2"/>
  <c r="S54" i="2" s="1"/>
  <c r="L55" i="2"/>
  <c r="S55" i="2" s="1"/>
  <c r="L56" i="2"/>
  <c r="S56" i="2" s="1"/>
  <c r="L57" i="2"/>
  <c r="S57" i="2" s="1"/>
  <c r="L58" i="2"/>
  <c r="S58" i="2" s="1"/>
  <c r="L59" i="2"/>
  <c r="S59" i="2" s="1"/>
  <c r="L60" i="2"/>
  <c r="S60" i="2" s="1"/>
  <c r="L61" i="2"/>
  <c r="S61" i="2" s="1"/>
  <c r="L62" i="2"/>
  <c r="S62" i="2" s="1"/>
  <c r="L63" i="2"/>
  <c r="S63" i="2" s="1"/>
  <c r="L64" i="2"/>
  <c r="S64" i="2" s="1"/>
  <c r="L65" i="2"/>
  <c r="S65" i="2" s="1"/>
  <c r="L66" i="2"/>
  <c r="S66" i="2" s="1"/>
  <c r="L67" i="2"/>
  <c r="S67" i="2" s="1"/>
  <c r="L68" i="2"/>
  <c r="S68" i="2" s="1"/>
  <c r="L114" i="2"/>
  <c r="S114" i="2" s="1"/>
  <c r="L125" i="2"/>
  <c r="S125" i="2" s="1"/>
  <c r="L135" i="2"/>
  <c r="S135" i="2" s="1"/>
  <c r="L136" i="2"/>
  <c r="S136" i="2" s="1"/>
  <c r="L137" i="2"/>
  <c r="S137" i="2" s="1"/>
  <c r="L138" i="2"/>
  <c r="S138" i="2" s="1"/>
  <c r="L139" i="2"/>
  <c r="S139" i="2" s="1"/>
  <c r="L140" i="2"/>
  <c r="S140" i="2" s="1"/>
  <c r="L141" i="2"/>
  <c r="S141" i="2" s="1"/>
  <c r="L142" i="2"/>
  <c r="S142" i="2" s="1"/>
  <c r="L115" i="2"/>
  <c r="S115" i="2" s="1"/>
  <c r="L116" i="2"/>
  <c r="S116" i="2" s="1"/>
  <c r="L117" i="2"/>
  <c r="S117" i="2" s="1"/>
  <c r="L118" i="2"/>
  <c r="S118" i="2" s="1"/>
  <c r="L119" i="2"/>
  <c r="S119" i="2" s="1"/>
  <c r="L120" i="2"/>
  <c r="S120" i="2" s="1"/>
  <c r="L121" i="2"/>
  <c r="S121" i="2" s="1"/>
  <c r="L122" i="2"/>
  <c r="S122" i="2" s="1"/>
  <c r="L123" i="2"/>
  <c r="S123" i="2" s="1"/>
  <c r="L124" i="2"/>
  <c r="S124" i="2" s="1"/>
  <c r="L126" i="2"/>
  <c r="S126" i="2" s="1"/>
  <c r="L127" i="2"/>
  <c r="S127" i="2" s="1"/>
  <c r="L128" i="2"/>
  <c r="S128" i="2" s="1"/>
  <c r="L129" i="2"/>
  <c r="S129" i="2" s="1"/>
  <c r="L130" i="2"/>
  <c r="S130" i="2" s="1"/>
  <c r="L131" i="2"/>
  <c r="S131" i="2" s="1"/>
  <c r="L132" i="2"/>
  <c r="S132" i="2" s="1"/>
  <c r="L133" i="2"/>
  <c r="S133" i="2" s="1"/>
  <c r="L134" i="2"/>
  <c r="S134" i="2" s="1"/>
  <c r="L143" i="2"/>
  <c r="S143" i="2" s="1"/>
  <c r="L146" i="2"/>
  <c r="S146" i="2" s="1"/>
  <c r="S147" i="2"/>
  <c r="L148" i="2"/>
  <c r="S148" i="2" s="1"/>
  <c r="L149" i="2"/>
  <c r="S149" i="2" s="1"/>
  <c r="L150" i="2"/>
  <c r="S150" i="2" s="1"/>
  <c r="L151" i="2"/>
  <c r="S151" i="2" s="1"/>
  <c r="L152" i="2"/>
  <c r="S152" i="2" s="1"/>
  <c r="L153" i="2"/>
  <c r="S153" i="2" s="1"/>
  <c r="L144" i="2"/>
  <c r="S144" i="2" s="1"/>
  <c r="L145" i="2"/>
  <c r="S145" i="2" s="1"/>
  <c r="L600" i="2"/>
  <c r="S600" i="2" s="1"/>
  <c r="L601" i="2"/>
  <c r="S601" i="2" s="1"/>
  <c r="L602" i="2"/>
  <c r="S602" i="2" s="1"/>
  <c r="L603" i="2"/>
  <c r="S603" i="2" s="1"/>
  <c r="L604" i="2"/>
  <c r="S604" i="2" s="1"/>
  <c r="L605" i="2"/>
  <c r="S605" i="2" s="1"/>
  <c r="L606" i="2"/>
  <c r="S606" i="2" s="1"/>
  <c r="L607" i="2"/>
  <c r="S607" i="2" s="1"/>
  <c r="L608" i="2"/>
  <c r="S608" i="2" s="1"/>
  <c r="L609" i="2"/>
  <c r="S609" i="2" s="1"/>
  <c r="L610" i="2"/>
  <c r="S610" i="2" s="1"/>
  <c r="L611" i="2"/>
  <c r="S611" i="2" s="1"/>
  <c r="L612" i="2"/>
  <c r="S612" i="2" s="1"/>
  <c r="L613" i="2"/>
  <c r="S613" i="2" s="1"/>
  <c r="L614" i="2"/>
  <c r="S614" i="2" s="1"/>
  <c r="L615" i="2"/>
  <c r="S615" i="2" s="1"/>
  <c r="L616" i="2"/>
  <c r="S616" i="2" s="1"/>
  <c r="L617" i="2"/>
  <c r="S617" i="2" s="1"/>
  <c r="L618" i="2"/>
  <c r="S618" i="2" s="1"/>
  <c r="L619" i="2"/>
  <c r="S619" i="2" s="1"/>
  <c r="L620" i="2"/>
  <c r="S620" i="2" s="1"/>
  <c r="L621" i="2"/>
  <c r="S621" i="2" s="1"/>
  <c r="L622" i="2"/>
  <c r="S622" i="2" s="1"/>
  <c r="L623" i="2"/>
  <c r="S623" i="2" s="1"/>
  <c r="L624" i="2"/>
  <c r="S624" i="2" s="1"/>
  <c r="L625" i="2"/>
  <c r="S625" i="2" s="1"/>
  <c r="L626" i="2"/>
  <c r="S626" i="2" s="1"/>
  <c r="L627" i="2"/>
  <c r="S627" i="2" s="1"/>
  <c r="L628" i="2"/>
  <c r="S628" i="2" s="1"/>
  <c r="L629" i="2"/>
  <c r="S629" i="2" s="1"/>
  <c r="L630" i="2"/>
  <c r="S630" i="2" s="1"/>
  <c r="L631" i="2"/>
  <c r="S631" i="2" s="1"/>
  <c r="L632" i="2"/>
  <c r="S632" i="2" s="1"/>
  <c r="L633" i="2"/>
  <c r="S633" i="2" s="1"/>
  <c r="L634" i="2"/>
  <c r="S634" i="2" s="1"/>
  <c r="L635" i="2"/>
  <c r="S635" i="2" s="1"/>
  <c r="L636" i="2"/>
  <c r="S636" i="2" s="1"/>
  <c r="L637" i="2"/>
  <c r="S637" i="2" s="1"/>
  <c r="L638" i="2"/>
  <c r="S638" i="2" s="1"/>
  <c r="L639" i="2"/>
  <c r="S639" i="2" s="1"/>
  <c r="L640" i="2"/>
  <c r="S640" i="2" s="1"/>
  <c r="L641" i="2"/>
  <c r="S641" i="2" s="1"/>
  <c r="L642" i="2"/>
  <c r="S642" i="2" s="1"/>
  <c r="L643" i="2"/>
  <c r="S643" i="2" s="1"/>
  <c r="L644" i="2"/>
  <c r="S644" i="2" s="1"/>
  <c r="L645" i="2"/>
  <c r="S645" i="2" s="1"/>
  <c r="L646" i="2"/>
  <c r="S646" i="2" s="1"/>
  <c r="L647" i="2"/>
  <c r="S647" i="2" s="1"/>
  <c r="L648" i="2"/>
  <c r="S648" i="2" s="1"/>
  <c r="L649" i="2"/>
  <c r="S649" i="2" s="1"/>
  <c r="L650" i="2"/>
  <c r="S650" i="2" s="1"/>
  <c r="L651" i="2"/>
  <c r="S651" i="2" s="1"/>
  <c r="L652" i="2"/>
  <c r="S652" i="2" s="1"/>
  <c r="L653" i="2"/>
  <c r="S653" i="2" s="1"/>
  <c r="L654" i="2"/>
  <c r="S654" i="2" s="1"/>
  <c r="L655" i="2"/>
  <c r="S655" i="2" s="1"/>
  <c r="L656" i="2"/>
  <c r="S656" i="2" s="1"/>
  <c r="L657" i="2"/>
  <c r="S657" i="2" s="1"/>
  <c r="L658" i="2"/>
  <c r="S658" i="2" s="1"/>
  <c r="L659" i="2"/>
  <c r="S659" i="2" s="1"/>
  <c r="L660" i="2"/>
  <c r="S660" i="2" s="1"/>
  <c r="L661" i="2"/>
  <c r="S661" i="2" s="1"/>
  <c r="L662" i="2"/>
  <c r="S662" i="2" s="1"/>
  <c r="L663" i="2"/>
  <c r="S663" i="2" s="1"/>
  <c r="L664" i="2"/>
  <c r="S664" i="2" s="1"/>
  <c r="L665" i="2"/>
  <c r="S665" i="2" s="1"/>
  <c r="L666" i="2"/>
  <c r="S666" i="2" s="1"/>
  <c r="L667" i="2"/>
  <c r="S667" i="2" s="1"/>
  <c r="L668" i="2"/>
  <c r="S668" i="2" s="1"/>
  <c r="L669" i="2"/>
  <c r="S669" i="2" s="1"/>
  <c r="L670" i="2"/>
  <c r="S670" i="2" s="1"/>
  <c r="L671" i="2"/>
  <c r="S671" i="2" s="1"/>
  <c r="L672" i="2"/>
  <c r="S672" i="2" s="1"/>
  <c r="L673" i="2"/>
  <c r="S673" i="2" s="1"/>
  <c r="L674" i="2"/>
  <c r="S674" i="2" s="1"/>
  <c r="L675" i="2"/>
  <c r="S675" i="2" s="1"/>
  <c r="L676" i="2"/>
  <c r="S676" i="2" s="1"/>
  <c r="L677" i="2"/>
  <c r="S677" i="2" s="1"/>
  <c r="L678" i="2"/>
  <c r="S678" i="2" s="1"/>
  <c r="L679" i="2"/>
  <c r="S679" i="2" s="1"/>
  <c r="L680" i="2"/>
  <c r="S680" i="2" s="1"/>
  <c r="L681" i="2"/>
  <c r="S681" i="2" s="1"/>
  <c r="L682" i="2"/>
  <c r="S682" i="2" s="1"/>
  <c r="L683" i="2"/>
  <c r="S683" i="2" s="1"/>
  <c r="L684" i="2"/>
  <c r="S684" i="2" s="1"/>
  <c r="L685" i="2"/>
  <c r="S685" i="2" s="1"/>
  <c r="L686" i="2"/>
  <c r="S686" i="2" s="1"/>
  <c r="L687" i="2"/>
  <c r="S687" i="2" s="1"/>
  <c r="L688" i="2"/>
  <c r="S688" i="2" s="1"/>
  <c r="L689" i="2"/>
  <c r="S689" i="2" s="1"/>
  <c r="L690" i="2"/>
  <c r="S690" i="2" s="1"/>
  <c r="L691" i="2"/>
  <c r="S691" i="2" s="1"/>
  <c r="L692" i="2"/>
  <c r="S692" i="2" s="1"/>
  <c r="L693" i="2"/>
  <c r="S693" i="2" s="1"/>
  <c r="L694" i="2"/>
  <c r="S694" i="2" s="1"/>
  <c r="L695" i="2"/>
  <c r="S695" i="2" s="1"/>
  <c r="L696" i="2"/>
  <c r="S696" i="2" s="1"/>
  <c r="L697" i="2"/>
  <c r="S697" i="2" s="1"/>
  <c r="L698" i="2"/>
  <c r="S698" i="2" s="1"/>
  <c r="L699" i="2"/>
  <c r="S699" i="2" s="1"/>
  <c r="L700" i="2"/>
  <c r="S700" i="2" s="1"/>
  <c r="L701" i="2"/>
  <c r="S701" i="2" s="1"/>
  <c r="L702" i="2"/>
  <c r="S702" i="2" s="1"/>
  <c r="L519" i="2"/>
  <c r="S519" i="2" s="1"/>
  <c r="L540" i="2"/>
  <c r="S540" i="2" s="1"/>
  <c r="L553" i="2"/>
  <c r="S553" i="2" s="1"/>
  <c r="L560" i="2"/>
  <c r="S560" i="2" s="1"/>
  <c r="S561" i="2"/>
  <c r="L562" i="2"/>
  <c r="S562" i="2" s="1"/>
  <c r="L563" i="2"/>
  <c r="S563" i="2" s="1"/>
  <c r="L564" i="2"/>
  <c r="S564" i="2" s="1"/>
  <c r="S565" i="2"/>
  <c r="L566" i="2"/>
  <c r="S566" i="2" s="1"/>
  <c r="L567" i="2"/>
  <c r="S567" i="2" s="1"/>
  <c r="L568" i="2"/>
  <c r="S568" i="2" s="1"/>
  <c r="L569" i="2"/>
  <c r="S569" i="2" s="1"/>
  <c r="L570" i="2"/>
  <c r="S570" i="2" s="1"/>
  <c r="L571" i="2"/>
  <c r="S571" i="2" s="1"/>
  <c r="L572" i="2"/>
  <c r="S572" i="2" s="1"/>
  <c r="L520" i="2"/>
  <c r="S520" i="2" s="1"/>
  <c r="L521" i="2"/>
  <c r="S521" i="2" s="1"/>
  <c r="L522" i="2"/>
  <c r="S522" i="2" s="1"/>
  <c r="L523" i="2"/>
  <c r="S523" i="2" s="1"/>
  <c r="L524" i="2"/>
  <c r="S524" i="2" s="1"/>
  <c r="L525" i="2"/>
  <c r="S525" i="2" s="1"/>
  <c r="L526" i="2"/>
  <c r="S526" i="2" s="1"/>
  <c r="L527" i="2"/>
  <c r="S527" i="2" s="1"/>
  <c r="L528" i="2"/>
  <c r="S528" i="2" s="1"/>
  <c r="L529" i="2"/>
  <c r="S529" i="2" s="1"/>
  <c r="L530" i="2"/>
  <c r="S530" i="2" s="1"/>
  <c r="L531" i="2"/>
  <c r="S531" i="2" s="1"/>
  <c r="L532" i="2"/>
  <c r="S532" i="2" s="1"/>
  <c r="L533" i="2"/>
  <c r="S533" i="2" s="1"/>
  <c r="L534" i="2"/>
  <c r="S534" i="2" s="1"/>
  <c r="L535" i="2"/>
  <c r="S535" i="2" s="1"/>
  <c r="L536" i="2"/>
  <c r="S536" i="2" s="1"/>
  <c r="S537" i="2"/>
  <c r="L538" i="2"/>
  <c r="S538" i="2" s="1"/>
  <c r="L539" i="2"/>
  <c r="S539" i="2" s="1"/>
  <c r="L541" i="2"/>
  <c r="S541" i="2" s="1"/>
  <c r="L542" i="2"/>
  <c r="S542" i="2" s="1"/>
  <c r="S543" i="2"/>
  <c r="S544" i="2"/>
  <c r="L545" i="2"/>
  <c r="S545" i="2" s="1"/>
  <c r="L546" i="2"/>
  <c r="S546" i="2" s="1"/>
  <c r="S547" i="2"/>
  <c r="L548" i="2"/>
  <c r="S548" i="2" s="1"/>
  <c r="L549" i="2"/>
  <c r="S549" i="2" s="1"/>
  <c r="L550" i="2"/>
  <c r="S550" i="2" s="1"/>
  <c r="S551" i="2"/>
  <c r="L552" i="2"/>
  <c r="S552" i="2" s="1"/>
  <c r="L554" i="2"/>
  <c r="S554" i="2" s="1"/>
  <c r="L555" i="2"/>
  <c r="S555" i="2" s="1"/>
  <c r="S556" i="2"/>
  <c r="L557" i="2"/>
  <c r="S557" i="2" s="1"/>
  <c r="L558" i="2"/>
  <c r="S558" i="2" s="1"/>
  <c r="L559" i="2"/>
  <c r="S559" i="2" s="1"/>
  <c r="L573" i="2"/>
  <c r="S573" i="2" s="1"/>
  <c r="L586" i="2"/>
  <c r="S586" i="2" s="1"/>
  <c r="L591" i="2"/>
  <c r="S591" i="2" s="1"/>
  <c r="L592" i="2"/>
  <c r="S592" i="2" s="1"/>
  <c r="L593" i="2"/>
  <c r="S593" i="2" s="1"/>
  <c r="L594" i="2"/>
  <c r="S594" i="2" s="1"/>
  <c r="L595" i="2"/>
  <c r="S595" i="2" s="1"/>
  <c r="L596" i="2"/>
  <c r="S596" i="2" s="1"/>
  <c r="L597" i="2"/>
  <c r="S597" i="2" s="1"/>
  <c r="L598" i="2"/>
  <c r="S598" i="2" s="1"/>
  <c r="S599" i="2"/>
  <c r="L574" i="2"/>
  <c r="S574" i="2" s="1"/>
  <c r="L575" i="2"/>
  <c r="S575" i="2" s="1"/>
  <c r="S576" i="2"/>
  <c r="L577" i="2"/>
  <c r="S577" i="2" s="1"/>
  <c r="L578" i="2"/>
  <c r="S578" i="2" s="1"/>
  <c r="S579" i="2"/>
  <c r="L580" i="2"/>
  <c r="S580" i="2" s="1"/>
  <c r="L581" i="2"/>
  <c r="S581" i="2" s="1"/>
  <c r="L582" i="2"/>
  <c r="S582" i="2" s="1"/>
  <c r="L583" i="2"/>
  <c r="S583" i="2" s="1"/>
  <c r="L584" i="2"/>
  <c r="S584" i="2" s="1"/>
  <c r="L585" i="2"/>
  <c r="S585" i="2" s="1"/>
  <c r="S587" i="2"/>
  <c r="B4" i="41" l="1"/>
  <c r="B3" i="41"/>
  <c r="B1" i="41" l="1"/>
  <c r="B2" i="41"/>
  <c r="K52" i="38" l="1"/>
  <c r="K60" i="38" l="1"/>
  <c r="K59" i="38"/>
  <c r="K58" i="38"/>
  <c r="K57" i="38"/>
  <c r="K56" i="38"/>
  <c r="K55" i="38"/>
  <c r="K54" i="38"/>
  <c r="K53" i="38"/>
  <c r="K51" i="38"/>
  <c r="K50" i="38"/>
  <c r="E14" i="40"/>
  <c r="E15" i="40"/>
  <c r="E16" i="40"/>
  <c r="E17" i="40"/>
  <c r="E18" i="40"/>
  <c r="E19" i="40"/>
  <c r="E20" i="40"/>
  <c r="E21" i="40"/>
  <c r="E22" i="40"/>
  <c r="E23" i="40"/>
  <c r="E24" i="40"/>
  <c r="E25" i="40"/>
  <c r="E26" i="40"/>
  <c r="E27" i="40"/>
  <c r="E28" i="40"/>
  <c r="E13" i="40"/>
  <c r="B6" i="40"/>
  <c r="B7" i="40"/>
  <c r="B8" i="40"/>
  <c r="B3" i="40"/>
  <c r="A4" i="40"/>
  <c r="A5" i="40"/>
  <c r="A6" i="40"/>
  <c r="A7" i="40"/>
  <c r="A8" i="40"/>
  <c r="A3" i="40"/>
  <c r="L28" i="40" l="1"/>
  <c r="K28" i="40"/>
  <c r="J28" i="40"/>
  <c r="I28" i="40"/>
  <c r="F28" i="40"/>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F16" i="40"/>
  <c r="I16" i="40" s="1"/>
  <c r="L15" i="40"/>
  <c r="K15" i="40"/>
  <c r="J15" i="40"/>
  <c r="F15" i="40"/>
  <c r="I15" i="40" s="1"/>
  <c r="L14" i="40"/>
  <c r="K14" i="40"/>
  <c r="J14" i="40"/>
  <c r="F14" i="40"/>
  <c r="I14" i="40" s="1"/>
  <c r="L13" i="40"/>
  <c r="K13" i="40"/>
  <c r="J13" i="40"/>
  <c r="F13" i="40"/>
  <c r="I13" i="40" s="1"/>
  <c r="B4" i="40"/>
  <c r="N15" i="40" l="1"/>
  <c r="Q15" i="40" s="1"/>
  <c r="N16" i="40"/>
  <c r="Q16" i="40" s="1"/>
  <c r="N14" i="40"/>
  <c r="Q14" i="40" s="1"/>
  <c r="N13" i="40"/>
  <c r="Q13" i="40" s="1"/>
  <c r="N27" i="40"/>
  <c r="Q27" i="40" s="1"/>
  <c r="N19" i="40"/>
  <c r="Q19" i="40" s="1"/>
  <c r="N28" i="40"/>
  <c r="Q28" i="40" s="1"/>
  <c r="N17" i="40"/>
  <c r="Q17" i="40" s="1"/>
  <c r="N25" i="40"/>
  <c r="Q25" i="40" s="1"/>
  <c r="N22" i="40"/>
  <c r="Q22" i="40" s="1"/>
  <c r="N18" i="40"/>
  <c r="Q18" i="40" s="1"/>
  <c r="N20" i="40"/>
  <c r="Q20" i="40" s="1"/>
  <c r="N26" i="40"/>
  <c r="Q26" i="40" s="1"/>
  <c r="N24" i="40"/>
  <c r="Q24" i="40" s="1"/>
  <c r="N23" i="40"/>
  <c r="Q23" i="40" s="1"/>
  <c r="N21" i="40"/>
  <c r="Q21" i="40" s="1"/>
  <c r="Q30" i="40" l="1"/>
  <c r="G45" i="31" s="1"/>
  <c r="B5" i="39"/>
  <c r="B6" i="39"/>
  <c r="B7" i="39"/>
  <c r="B8" i="39"/>
  <c r="B4" i="39"/>
  <c r="B3" i="39"/>
  <c r="A4" i="39"/>
  <c r="A5" i="39"/>
  <c r="A6" i="39"/>
  <c r="A7" i="39"/>
  <c r="A8" i="39"/>
  <c r="A3" i="39"/>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E43" i="39" l="1"/>
  <c r="E96" i="39" s="1"/>
  <c r="B32" i="37"/>
  <c r="D29" i="37"/>
  <c r="E19" i="37"/>
  <c r="B18" i="37"/>
  <c r="D25" i="37"/>
  <c r="D31" i="37"/>
  <c r="D32" i="37"/>
  <c r="B25" i="37"/>
  <c r="D18" i="37"/>
  <c r="B28" i="37"/>
  <c r="B15" i="37"/>
  <c r="B34" i="37" s="1"/>
  <c r="B20" i="37"/>
  <c r="D17" i="37"/>
  <c r="E32" i="37"/>
  <c r="D21" i="37"/>
  <c r="D15" i="37"/>
  <c r="D30" i="37"/>
  <c r="B29" i="37"/>
  <c r="D28" i="37"/>
  <c r="E25" i="37"/>
  <c r="B22" i="37"/>
  <c r="B24" i="37"/>
  <c r="D22" i="37"/>
  <c r="B27" i="37"/>
  <c r="D24" i="37"/>
  <c r="D27" i="37"/>
  <c r="E24" i="37"/>
  <c r="B21" i="37"/>
  <c r="B23" i="37"/>
  <c r="D26" i="37"/>
  <c r="E23" i="37"/>
  <c r="B16" i="37"/>
  <c r="B30" i="37"/>
  <c r="D20" i="37"/>
  <c r="D16" i="37"/>
  <c r="B31" i="37"/>
  <c r="E20" i="37"/>
  <c r="E30" i="37"/>
  <c r="B19" i="37"/>
  <c r="D19" i="37"/>
  <c r="B26" i="37"/>
  <c r="D23" i="37"/>
  <c r="E21" i="37"/>
  <c r="B17" i="37"/>
  <c r="K23" i="37"/>
  <c r="K32" i="37"/>
  <c r="K15" i="37"/>
  <c r="K20" i="37"/>
  <c r="K18" i="37"/>
  <c r="K27" i="37"/>
  <c r="K16" i="37"/>
  <c r="K28" i="37"/>
  <c r="K22" i="37"/>
  <c r="K30" i="37"/>
  <c r="K31" i="37"/>
  <c r="K17" i="37"/>
  <c r="K19" i="37"/>
  <c r="K29" i="37"/>
  <c r="K24" i="37"/>
  <c r="K21" i="37"/>
  <c r="K25" i="37"/>
  <c r="G43" i="39"/>
  <c r="I43" i="39" s="1"/>
  <c r="I96" i="39" s="1"/>
  <c r="L33" i="37"/>
  <c r="O10" i="2"/>
  <c r="N10" i="2" s="1"/>
  <c r="O127" i="2"/>
  <c r="N127" i="2" s="1"/>
  <c r="O148" i="2"/>
  <c r="N148" i="2" s="1"/>
  <c r="O157" i="2"/>
  <c r="N157" i="2" s="1"/>
  <c r="O168" i="2"/>
  <c r="N168" i="2" s="1"/>
  <c r="O179" i="2"/>
  <c r="N179" i="2" s="1"/>
  <c r="O187" i="2"/>
  <c r="N187" i="2" s="1"/>
  <c r="O194" i="2"/>
  <c r="N194" i="2" s="1"/>
  <c r="O509" i="2"/>
  <c r="N509" i="2" s="1"/>
  <c r="O519" i="2"/>
  <c r="N519" i="2" s="1"/>
  <c r="O520" i="2"/>
  <c r="N520" i="2" s="1"/>
  <c r="O522" i="2"/>
  <c r="N522" i="2" s="1"/>
  <c r="O523" i="2"/>
  <c r="N523" i="2" s="1"/>
  <c r="O524" i="2"/>
  <c r="N524" i="2" s="1"/>
  <c r="O525" i="2"/>
  <c r="N525" i="2" s="1"/>
  <c r="O526" i="2"/>
  <c r="N526" i="2" s="1"/>
  <c r="O527" i="2"/>
  <c r="N527" i="2" s="1"/>
  <c r="O528" i="2"/>
  <c r="N528" i="2" s="1"/>
  <c r="O531" i="2"/>
  <c r="N531" i="2" s="1"/>
  <c r="O532" i="2"/>
  <c r="N532" i="2" s="1"/>
  <c r="O535" i="2"/>
  <c r="N535" i="2" s="1"/>
  <c r="O536" i="2"/>
  <c r="N536" i="2" s="1"/>
  <c r="O538" i="2"/>
  <c r="N538" i="2" s="1"/>
  <c r="O539" i="2"/>
  <c r="N539" i="2" s="1"/>
  <c r="O540" i="2"/>
  <c r="N540" i="2" s="1"/>
  <c r="O541" i="2"/>
  <c r="N541" i="2" s="1"/>
  <c r="O542" i="2"/>
  <c r="N542" i="2" s="1"/>
  <c r="O545" i="2"/>
  <c r="N545" i="2" s="1"/>
  <c r="O546" i="2"/>
  <c r="N546" i="2" s="1"/>
  <c r="O548" i="2"/>
  <c r="N548" i="2" s="1"/>
  <c r="O549" i="2"/>
  <c r="N549" i="2" s="1"/>
  <c r="O550" i="2"/>
  <c r="N550" i="2" s="1"/>
  <c r="O552" i="2"/>
  <c r="N552" i="2" s="1"/>
  <c r="O553" i="2"/>
  <c r="N553" i="2" s="1"/>
  <c r="O554" i="2"/>
  <c r="N554" i="2" s="1"/>
  <c r="O555" i="2"/>
  <c r="N555" i="2" s="1"/>
  <c r="O557" i="2"/>
  <c r="N557" i="2" s="1"/>
  <c r="O558" i="2"/>
  <c r="N558" i="2" s="1"/>
  <c r="O559" i="2"/>
  <c r="N559" i="2" s="1"/>
  <c r="O560" i="2"/>
  <c r="N560" i="2" s="1"/>
  <c r="O562" i="2"/>
  <c r="N562" i="2" s="1"/>
  <c r="O563" i="2"/>
  <c r="N563" i="2" s="1"/>
  <c r="O564" i="2"/>
  <c r="N564" i="2" s="1"/>
  <c r="O566" i="2"/>
  <c r="N566" i="2" s="1"/>
  <c r="O567" i="2"/>
  <c r="N567" i="2" s="1"/>
  <c r="O568" i="2"/>
  <c r="N568" i="2" s="1"/>
  <c r="O569" i="2"/>
  <c r="N569" i="2" s="1"/>
  <c r="O570" i="2"/>
  <c r="N570" i="2" s="1"/>
  <c r="O571" i="2"/>
  <c r="N571" i="2" s="1"/>
  <c r="O572" i="2"/>
  <c r="N572" i="2" s="1"/>
  <c r="O573" i="2"/>
  <c r="N573" i="2" s="1"/>
  <c r="O574" i="2"/>
  <c r="N574" i="2" s="1"/>
  <c r="O575" i="2"/>
  <c r="N575" i="2" s="1"/>
  <c r="O577" i="2"/>
  <c r="N577" i="2" s="1"/>
  <c r="O578" i="2"/>
  <c r="N578" i="2" s="1"/>
  <c r="O580" i="2"/>
  <c r="N580" i="2" s="1"/>
  <c r="O581" i="2"/>
  <c r="N581" i="2" s="1"/>
  <c r="O582" i="2"/>
  <c r="N582" i="2" s="1"/>
  <c r="O583" i="2"/>
  <c r="N583" i="2" s="1"/>
  <c r="O584" i="2"/>
  <c r="N584" i="2" s="1"/>
  <c r="O585" i="2"/>
  <c r="N585" i="2" s="1"/>
  <c r="O586" i="2"/>
  <c r="N586" i="2" s="1"/>
  <c r="O588" i="2"/>
  <c r="N588" i="2" s="1"/>
  <c r="O589" i="2"/>
  <c r="N589" i="2" s="1"/>
  <c r="O590" i="2"/>
  <c r="N590" i="2" s="1"/>
  <c r="O591" i="2"/>
  <c r="N591" i="2" s="1"/>
  <c r="O592" i="2"/>
  <c r="N592" i="2" s="1"/>
  <c r="O593" i="2"/>
  <c r="N593" i="2" s="1"/>
  <c r="O594" i="2"/>
  <c r="N594" i="2" s="1"/>
  <c r="O595" i="2"/>
  <c r="N595" i="2" s="1"/>
  <c r="O596" i="2"/>
  <c r="N596" i="2" s="1"/>
  <c r="O597" i="2"/>
  <c r="N597" i="2" s="1"/>
  <c r="P888" i="2"/>
  <c r="O889" i="2"/>
  <c r="N889" i="2" s="1"/>
  <c r="P889" i="2"/>
  <c r="P887" i="2"/>
  <c r="O890" i="2"/>
  <c r="N890" i="2" s="1"/>
  <c r="P890" i="2"/>
  <c r="O887" i="2"/>
  <c r="N887" i="2" s="1"/>
  <c r="O888" i="2"/>
  <c r="N888" i="2" s="1"/>
  <c r="P11" i="2"/>
  <c r="P15" i="2"/>
  <c r="P19" i="2"/>
  <c r="P23" i="2"/>
  <c r="P27" i="2"/>
  <c r="P31" i="2"/>
  <c r="P35" i="2"/>
  <c r="P39" i="2"/>
  <c r="P43" i="2"/>
  <c r="P47" i="2"/>
  <c r="P51" i="2"/>
  <c r="P55" i="2"/>
  <c r="P59" i="2"/>
  <c r="P63" i="2"/>
  <c r="P67" i="2"/>
  <c r="P71" i="2"/>
  <c r="P75" i="2"/>
  <c r="P79" i="2"/>
  <c r="P83" i="2"/>
  <c r="P87" i="2"/>
  <c r="P91" i="2"/>
  <c r="P95" i="2"/>
  <c r="P99" i="2"/>
  <c r="P103" i="2"/>
  <c r="P107" i="2"/>
  <c r="P111" i="2"/>
  <c r="P114" i="2"/>
  <c r="P118" i="2"/>
  <c r="P122" i="2"/>
  <c r="P126" i="2"/>
  <c r="P130" i="2"/>
  <c r="P134" i="2"/>
  <c r="P138" i="2"/>
  <c r="P142" i="2"/>
  <c r="P146" i="2"/>
  <c r="P150" i="2"/>
  <c r="P154" i="2"/>
  <c r="P158" i="2"/>
  <c r="P162" i="2"/>
  <c r="P166" i="2"/>
  <c r="P170" i="2"/>
  <c r="P174" i="2"/>
  <c r="P178" i="2"/>
  <c r="P182" i="2"/>
  <c r="P186" i="2"/>
  <c r="P190" i="2"/>
  <c r="P194" i="2"/>
  <c r="P198" i="2"/>
  <c r="P202" i="2"/>
  <c r="P12" i="2"/>
  <c r="P16" i="2"/>
  <c r="P20" i="2"/>
  <c r="P24" i="2"/>
  <c r="P28" i="2"/>
  <c r="P32" i="2"/>
  <c r="P36" i="2"/>
  <c r="P40" i="2"/>
  <c r="P44" i="2"/>
  <c r="P48" i="2"/>
  <c r="P52" i="2"/>
  <c r="P56" i="2"/>
  <c r="P60" i="2"/>
  <c r="P64" i="2"/>
  <c r="P68" i="2"/>
  <c r="P72" i="2"/>
  <c r="P76" i="2"/>
  <c r="P80" i="2"/>
  <c r="P84" i="2"/>
  <c r="P88" i="2"/>
  <c r="P92" i="2"/>
  <c r="P96" i="2"/>
  <c r="P100" i="2"/>
  <c r="P104" i="2"/>
  <c r="P108" i="2"/>
  <c r="P112" i="2"/>
  <c r="P115" i="2"/>
  <c r="P119" i="2"/>
  <c r="P123" i="2"/>
  <c r="P127" i="2"/>
  <c r="P131" i="2"/>
  <c r="P135" i="2"/>
  <c r="P139" i="2"/>
  <c r="P143" i="2"/>
  <c r="P147" i="2"/>
  <c r="P151" i="2"/>
  <c r="P155" i="2"/>
  <c r="P159" i="2"/>
  <c r="P163" i="2"/>
  <c r="P167" i="2"/>
  <c r="P171" i="2"/>
  <c r="P175" i="2"/>
  <c r="P179" i="2"/>
  <c r="P183" i="2"/>
  <c r="P187" i="2"/>
  <c r="P191" i="2"/>
  <c r="P195" i="2"/>
  <c r="P199" i="2"/>
  <c r="P203" i="2"/>
  <c r="P13" i="2"/>
  <c r="P17" i="2"/>
  <c r="P21" i="2"/>
  <c r="P25" i="2"/>
  <c r="P29" i="2"/>
  <c r="P33" i="2"/>
  <c r="P37" i="2"/>
  <c r="P41" i="2"/>
  <c r="P45" i="2"/>
  <c r="P49" i="2"/>
  <c r="P53" i="2"/>
  <c r="P57" i="2"/>
  <c r="P61" i="2"/>
  <c r="P65" i="2"/>
  <c r="P69" i="2"/>
  <c r="P73" i="2"/>
  <c r="P77" i="2"/>
  <c r="P81" i="2"/>
  <c r="P85" i="2"/>
  <c r="P89" i="2"/>
  <c r="P93" i="2"/>
  <c r="P97" i="2"/>
  <c r="P101" i="2"/>
  <c r="P105" i="2"/>
  <c r="P109" i="2"/>
  <c r="P113" i="2"/>
  <c r="P116" i="2"/>
  <c r="P120" i="2"/>
  <c r="P124" i="2"/>
  <c r="P128" i="2"/>
  <c r="P132" i="2"/>
  <c r="P136" i="2"/>
  <c r="P140" i="2"/>
  <c r="P144" i="2"/>
  <c r="P148" i="2"/>
  <c r="P152" i="2"/>
  <c r="P156" i="2"/>
  <c r="P160" i="2"/>
  <c r="P164" i="2"/>
  <c r="P168" i="2"/>
  <c r="P172" i="2"/>
  <c r="P176" i="2"/>
  <c r="P180" i="2"/>
  <c r="P184" i="2"/>
  <c r="P188" i="2"/>
  <c r="P192" i="2"/>
  <c r="P196" i="2"/>
  <c r="P200" i="2"/>
  <c r="P204" i="2"/>
  <c r="P10" i="2"/>
  <c r="P14" i="2"/>
  <c r="P18" i="2"/>
  <c r="P22" i="2"/>
  <c r="P26" i="2"/>
  <c r="P30" i="2"/>
  <c r="P34" i="2"/>
  <c r="P38" i="2"/>
  <c r="P42" i="2"/>
  <c r="P46" i="2"/>
  <c r="P50" i="2"/>
  <c r="P54" i="2"/>
  <c r="P58" i="2"/>
  <c r="P62" i="2"/>
  <c r="P66" i="2"/>
  <c r="P70" i="2"/>
  <c r="P74" i="2"/>
  <c r="P78" i="2"/>
  <c r="P82" i="2"/>
  <c r="P86" i="2"/>
  <c r="P90" i="2"/>
  <c r="P94" i="2"/>
  <c r="P98" i="2"/>
  <c r="P102" i="2"/>
  <c r="P106" i="2"/>
  <c r="P110" i="2"/>
  <c r="P117" i="2"/>
  <c r="P121" i="2"/>
  <c r="P125" i="2"/>
  <c r="P129" i="2"/>
  <c r="P133" i="2"/>
  <c r="P137" i="2"/>
  <c r="P141" i="2"/>
  <c r="P145" i="2"/>
  <c r="P149" i="2"/>
  <c r="P153" i="2"/>
  <c r="P157" i="2"/>
  <c r="P161" i="2"/>
  <c r="P165" i="2"/>
  <c r="P169" i="2"/>
  <c r="P173" i="2"/>
  <c r="P177" i="2"/>
  <c r="P181" i="2"/>
  <c r="P185" i="2"/>
  <c r="P189" i="2"/>
  <c r="P193" i="2"/>
  <c r="P197" i="2"/>
  <c r="P201" i="2"/>
  <c r="P205" i="2"/>
  <c r="P209" i="2"/>
  <c r="P213" i="2"/>
  <c r="P217" i="2"/>
  <c r="P221" i="2"/>
  <c r="P225" i="2"/>
  <c r="P229" i="2"/>
  <c r="P233" i="2"/>
  <c r="P237" i="2"/>
  <c r="P241" i="2"/>
  <c r="P245" i="2"/>
  <c r="P249" i="2"/>
  <c r="P253" i="2"/>
  <c r="P257" i="2"/>
  <c r="P261" i="2"/>
  <c r="P265" i="2"/>
  <c r="P269" i="2"/>
  <c r="P273" i="2"/>
  <c r="P277" i="2"/>
  <c r="P281" i="2"/>
  <c r="P285" i="2"/>
  <c r="P289" i="2"/>
  <c r="P293" i="2"/>
  <c r="P297" i="2"/>
  <c r="P301" i="2"/>
  <c r="P305" i="2"/>
  <c r="P309" i="2"/>
  <c r="P313" i="2"/>
  <c r="P317" i="2"/>
  <c r="P321" i="2"/>
  <c r="P325" i="2"/>
  <c r="P329" i="2"/>
  <c r="P333" i="2"/>
  <c r="P337" i="2"/>
  <c r="P341" i="2"/>
  <c r="P345" i="2"/>
  <c r="P349" i="2"/>
  <c r="P353" i="2"/>
  <c r="P357" i="2"/>
  <c r="P361" i="2"/>
  <c r="P365" i="2"/>
  <c r="P206" i="2"/>
  <c r="P210" i="2"/>
  <c r="P214" i="2"/>
  <c r="P218" i="2"/>
  <c r="P222" i="2"/>
  <c r="P226" i="2"/>
  <c r="P230" i="2"/>
  <c r="P234" i="2"/>
  <c r="P238" i="2"/>
  <c r="P242" i="2"/>
  <c r="P246" i="2"/>
  <c r="P250" i="2"/>
  <c r="P254" i="2"/>
  <c r="P258" i="2"/>
  <c r="P262" i="2"/>
  <c r="P266" i="2"/>
  <c r="P270" i="2"/>
  <c r="P274" i="2"/>
  <c r="P278" i="2"/>
  <c r="P282" i="2"/>
  <c r="P286" i="2"/>
  <c r="P290" i="2"/>
  <c r="P294" i="2"/>
  <c r="P298" i="2"/>
  <c r="P302" i="2"/>
  <c r="P306" i="2"/>
  <c r="P310" i="2"/>
  <c r="P314" i="2"/>
  <c r="P318" i="2"/>
  <c r="P322" i="2"/>
  <c r="P326" i="2"/>
  <c r="P330" i="2"/>
  <c r="P334" i="2"/>
  <c r="P338" i="2"/>
  <c r="P342" i="2"/>
  <c r="P346" i="2"/>
  <c r="P350" i="2"/>
  <c r="P354" i="2"/>
  <c r="P358" i="2"/>
  <c r="P362" i="2"/>
  <c r="P207" i="2"/>
  <c r="P211" i="2"/>
  <c r="P215" i="2"/>
  <c r="P219" i="2"/>
  <c r="P223" i="2"/>
  <c r="P227" i="2"/>
  <c r="P231" i="2"/>
  <c r="P235" i="2"/>
  <c r="P239" i="2"/>
  <c r="P243" i="2"/>
  <c r="P247" i="2"/>
  <c r="P251" i="2"/>
  <c r="P255" i="2"/>
  <c r="P259" i="2"/>
  <c r="P263" i="2"/>
  <c r="P267" i="2"/>
  <c r="P271" i="2"/>
  <c r="P275" i="2"/>
  <c r="P279" i="2"/>
  <c r="P283" i="2"/>
  <c r="P287" i="2"/>
  <c r="P291" i="2"/>
  <c r="P295" i="2"/>
  <c r="P299" i="2"/>
  <c r="P303" i="2"/>
  <c r="P307" i="2"/>
  <c r="P311" i="2"/>
  <c r="P315" i="2"/>
  <c r="P319" i="2"/>
  <c r="P323" i="2"/>
  <c r="P327" i="2"/>
  <c r="P331" i="2"/>
  <c r="P335" i="2"/>
  <c r="P339" i="2"/>
  <c r="P343" i="2"/>
  <c r="P347" i="2"/>
  <c r="P351" i="2"/>
  <c r="P355" i="2"/>
  <c r="P359" i="2"/>
  <c r="P363" i="2"/>
  <c r="P367" i="2"/>
  <c r="P371" i="2"/>
  <c r="P375" i="2"/>
  <c r="P379" i="2"/>
  <c r="P383" i="2"/>
  <c r="P387" i="2"/>
  <c r="P391" i="2"/>
  <c r="P395" i="2"/>
  <c r="P399" i="2"/>
  <c r="P403" i="2"/>
  <c r="P407" i="2"/>
  <c r="P411" i="2"/>
  <c r="P415" i="2"/>
  <c r="P419" i="2"/>
  <c r="P423" i="2"/>
  <c r="P427" i="2"/>
  <c r="P431" i="2"/>
  <c r="P435" i="2"/>
  <c r="P439" i="2"/>
  <c r="P443" i="2"/>
  <c r="P447" i="2"/>
  <c r="P451" i="2"/>
  <c r="P455" i="2"/>
  <c r="P208" i="2"/>
  <c r="P212" i="2"/>
  <c r="P216" i="2"/>
  <c r="P220" i="2"/>
  <c r="P224" i="2"/>
  <c r="P228" i="2"/>
  <c r="P232" i="2"/>
  <c r="P236" i="2"/>
  <c r="P240" i="2"/>
  <c r="P244" i="2"/>
  <c r="P248" i="2"/>
  <c r="P252" i="2"/>
  <c r="P256" i="2"/>
  <c r="P260" i="2"/>
  <c r="P264" i="2"/>
  <c r="P268" i="2"/>
  <c r="P272" i="2"/>
  <c r="P276" i="2"/>
  <c r="P280" i="2"/>
  <c r="P284" i="2"/>
  <c r="P288" i="2"/>
  <c r="P292" i="2"/>
  <c r="P296" i="2"/>
  <c r="P300" i="2"/>
  <c r="P304" i="2"/>
  <c r="P308" i="2"/>
  <c r="P312" i="2"/>
  <c r="P316" i="2"/>
  <c r="P320" i="2"/>
  <c r="P324" i="2"/>
  <c r="P328" i="2"/>
  <c r="P332" i="2"/>
  <c r="P336" i="2"/>
  <c r="P340" i="2"/>
  <c r="P344" i="2"/>
  <c r="P348" i="2"/>
  <c r="P352" i="2"/>
  <c r="P356" i="2"/>
  <c r="P360" i="2"/>
  <c r="P364" i="2"/>
  <c r="P368" i="2"/>
  <c r="P372" i="2"/>
  <c r="P376" i="2"/>
  <c r="P380" i="2"/>
  <c r="P384" i="2"/>
  <c r="P388" i="2"/>
  <c r="P392" i="2"/>
  <c r="P396" i="2"/>
  <c r="P400" i="2"/>
  <c r="P404" i="2"/>
  <c r="P408" i="2"/>
  <c r="P412" i="2"/>
  <c r="P416" i="2"/>
  <c r="P420" i="2"/>
  <c r="P424" i="2"/>
  <c r="P428" i="2"/>
  <c r="P432" i="2"/>
  <c r="P436" i="2"/>
  <c r="P440" i="2"/>
  <c r="P444" i="2"/>
  <c r="P448" i="2"/>
  <c r="P452" i="2"/>
  <c r="P456" i="2"/>
  <c r="P460" i="2"/>
  <c r="P464" i="2"/>
  <c r="P468" i="2"/>
  <c r="P472" i="2"/>
  <c r="P476" i="2"/>
  <c r="P480" i="2"/>
  <c r="P484" i="2"/>
  <c r="P488" i="2"/>
  <c r="P492" i="2"/>
  <c r="P496" i="2"/>
  <c r="P500" i="2"/>
  <c r="P504" i="2"/>
  <c r="P508" i="2"/>
  <c r="P512" i="2"/>
  <c r="P516" i="2"/>
  <c r="P520" i="2"/>
  <c r="P524" i="2"/>
  <c r="P528" i="2"/>
  <c r="P532" i="2"/>
  <c r="P536" i="2"/>
  <c r="P540" i="2"/>
  <c r="P544" i="2"/>
  <c r="P548" i="2"/>
  <c r="P552" i="2"/>
  <c r="P556" i="2"/>
  <c r="P560" i="2"/>
  <c r="P564" i="2"/>
  <c r="P568" i="2"/>
  <c r="P572" i="2"/>
  <c r="P576" i="2"/>
  <c r="P580" i="2"/>
  <c r="P584" i="2"/>
  <c r="P588" i="2"/>
  <c r="P591" i="2"/>
  <c r="P595" i="2"/>
  <c r="P599" i="2"/>
  <c r="P603" i="2"/>
  <c r="P607" i="2"/>
  <c r="P611" i="2"/>
  <c r="P615" i="2"/>
  <c r="P619" i="2"/>
  <c r="P623" i="2"/>
  <c r="P627" i="2"/>
  <c r="P631" i="2"/>
  <c r="P635" i="2"/>
  <c r="P639" i="2"/>
  <c r="P643" i="2"/>
  <c r="P647" i="2"/>
  <c r="P651" i="2"/>
  <c r="P655" i="2"/>
  <c r="P659" i="2"/>
  <c r="P663" i="2"/>
  <c r="P667" i="2"/>
  <c r="P671" i="2"/>
  <c r="P675" i="2"/>
  <c r="P679" i="2"/>
  <c r="P683" i="2"/>
  <c r="P687" i="2"/>
  <c r="P691" i="2"/>
  <c r="P695" i="2"/>
  <c r="P699" i="2"/>
  <c r="P373" i="2"/>
  <c r="P381" i="2"/>
  <c r="P389" i="2"/>
  <c r="P397" i="2"/>
  <c r="P405" i="2"/>
  <c r="P418" i="2"/>
  <c r="P429" i="2"/>
  <c r="P434" i="2"/>
  <c r="P445" i="2"/>
  <c r="P450" i="2"/>
  <c r="P413" i="2"/>
  <c r="P461" i="2"/>
  <c r="P465" i="2"/>
  <c r="P469" i="2"/>
  <c r="P473" i="2"/>
  <c r="P477" i="2"/>
  <c r="P481" i="2"/>
  <c r="P485" i="2"/>
  <c r="P489" i="2"/>
  <c r="P493" i="2"/>
  <c r="P497" i="2"/>
  <c r="P501" i="2"/>
  <c r="P505" i="2"/>
  <c r="P509" i="2"/>
  <c r="P513" i="2"/>
  <c r="P517" i="2"/>
  <c r="P521" i="2"/>
  <c r="P525" i="2"/>
  <c r="P529" i="2"/>
  <c r="P533" i="2"/>
  <c r="P537" i="2"/>
  <c r="P541" i="2"/>
  <c r="P545" i="2"/>
  <c r="P549" i="2"/>
  <c r="P553" i="2"/>
  <c r="P557" i="2"/>
  <c r="P561" i="2"/>
  <c r="P565" i="2"/>
  <c r="P569" i="2"/>
  <c r="P573" i="2"/>
  <c r="P577" i="2"/>
  <c r="P581" i="2"/>
  <c r="P585" i="2"/>
  <c r="P589" i="2"/>
  <c r="P592" i="2"/>
  <c r="P596" i="2"/>
  <c r="P600" i="2"/>
  <c r="P604" i="2"/>
  <c r="P608" i="2"/>
  <c r="P612" i="2"/>
  <c r="P616" i="2"/>
  <c r="P620" i="2"/>
  <c r="P624" i="2"/>
  <c r="P628" i="2"/>
  <c r="P632" i="2"/>
  <c r="P636" i="2"/>
  <c r="P640" i="2"/>
  <c r="P644" i="2"/>
  <c r="P648" i="2"/>
  <c r="P652" i="2"/>
  <c r="P656" i="2"/>
  <c r="P660" i="2"/>
  <c r="P664" i="2"/>
  <c r="P668" i="2"/>
  <c r="P672" i="2"/>
  <c r="P676" i="2"/>
  <c r="P680" i="2"/>
  <c r="P684" i="2"/>
  <c r="P688" i="2"/>
  <c r="P692" i="2"/>
  <c r="P696" i="2"/>
  <c r="P700" i="2"/>
  <c r="P366" i="2"/>
  <c r="P374" i="2"/>
  <c r="P382" i="2"/>
  <c r="P390" i="2"/>
  <c r="P398" i="2"/>
  <c r="P406" i="2"/>
  <c r="P425" i="2"/>
  <c r="P430" i="2"/>
  <c r="P441" i="2"/>
  <c r="P446" i="2"/>
  <c r="P457" i="2"/>
  <c r="P414" i="2"/>
  <c r="P462" i="2"/>
  <c r="P466" i="2"/>
  <c r="P470" i="2"/>
  <c r="P474" i="2"/>
  <c r="P478" i="2"/>
  <c r="P482" i="2"/>
  <c r="P486" i="2"/>
  <c r="P490" i="2"/>
  <c r="P494" i="2"/>
  <c r="P498" i="2"/>
  <c r="P502" i="2"/>
  <c r="P506" i="2"/>
  <c r="P510" i="2"/>
  <c r="P514" i="2"/>
  <c r="P518" i="2"/>
  <c r="P522" i="2"/>
  <c r="P526" i="2"/>
  <c r="P530" i="2"/>
  <c r="P534" i="2"/>
  <c r="P538" i="2"/>
  <c r="P542" i="2"/>
  <c r="P546" i="2"/>
  <c r="P550" i="2"/>
  <c r="P554" i="2"/>
  <c r="P558" i="2"/>
  <c r="P562" i="2"/>
  <c r="P566" i="2"/>
  <c r="P570" i="2"/>
  <c r="P574" i="2"/>
  <c r="P578" i="2"/>
  <c r="P582" i="2"/>
  <c r="P586" i="2"/>
  <c r="P593" i="2"/>
  <c r="P597" i="2"/>
  <c r="P601" i="2"/>
  <c r="P605" i="2"/>
  <c r="P609" i="2"/>
  <c r="P613" i="2"/>
  <c r="P617" i="2"/>
  <c r="P621" i="2"/>
  <c r="P625" i="2"/>
  <c r="P629" i="2"/>
  <c r="P633" i="2"/>
  <c r="P637" i="2"/>
  <c r="P641" i="2"/>
  <c r="P645" i="2"/>
  <c r="P649" i="2"/>
  <c r="P653" i="2"/>
  <c r="P657" i="2"/>
  <c r="P661" i="2"/>
  <c r="P665" i="2"/>
  <c r="P669" i="2"/>
  <c r="P673" i="2"/>
  <c r="P677" i="2"/>
  <c r="P681" i="2"/>
  <c r="P685" i="2"/>
  <c r="P689" i="2"/>
  <c r="P693" i="2"/>
  <c r="P697" i="2"/>
  <c r="P701" i="2"/>
  <c r="P369" i="2"/>
  <c r="P377" i="2"/>
  <c r="P385" i="2"/>
  <c r="P393" i="2"/>
  <c r="P401" i="2"/>
  <c r="P409" i="2"/>
  <c r="P421" i="2"/>
  <c r="P426" i="2"/>
  <c r="P437" i="2"/>
  <c r="P442" i="2"/>
  <c r="P453" i="2"/>
  <c r="P458" i="2"/>
  <c r="P463" i="2"/>
  <c r="P467" i="2"/>
  <c r="P471" i="2"/>
  <c r="P475" i="2"/>
  <c r="P479" i="2"/>
  <c r="P483" i="2"/>
  <c r="P487" i="2"/>
  <c r="P491" i="2"/>
  <c r="P495" i="2"/>
  <c r="P499" i="2"/>
  <c r="P503" i="2"/>
  <c r="P507" i="2"/>
  <c r="P511" i="2"/>
  <c r="P515" i="2"/>
  <c r="P519" i="2"/>
  <c r="P523" i="2"/>
  <c r="P527" i="2"/>
  <c r="P531" i="2"/>
  <c r="P535" i="2"/>
  <c r="P539" i="2"/>
  <c r="P543" i="2"/>
  <c r="P547" i="2"/>
  <c r="P551" i="2"/>
  <c r="P555" i="2"/>
  <c r="P559" i="2"/>
  <c r="P563" i="2"/>
  <c r="P567" i="2"/>
  <c r="P571" i="2"/>
  <c r="P575" i="2"/>
  <c r="P579" i="2"/>
  <c r="P583" i="2"/>
  <c r="P587" i="2"/>
  <c r="P590" i="2"/>
  <c r="P594" i="2"/>
  <c r="P598" i="2"/>
  <c r="P602" i="2"/>
  <c r="P606" i="2"/>
  <c r="P610" i="2"/>
  <c r="P614" i="2"/>
  <c r="P618" i="2"/>
  <c r="P622" i="2"/>
  <c r="P626" i="2"/>
  <c r="P630" i="2"/>
  <c r="P634" i="2"/>
  <c r="P638" i="2"/>
  <c r="P642" i="2"/>
  <c r="P646" i="2"/>
  <c r="P650" i="2"/>
  <c r="P654" i="2"/>
  <c r="P658" i="2"/>
  <c r="P662" i="2"/>
  <c r="P666" i="2"/>
  <c r="P670" i="2"/>
  <c r="P674" i="2"/>
  <c r="P678" i="2"/>
  <c r="P682" i="2"/>
  <c r="P686" i="2"/>
  <c r="P690" i="2"/>
  <c r="P694" i="2"/>
  <c r="P698" i="2"/>
  <c r="P702" i="2"/>
  <c r="P370" i="2"/>
  <c r="P378" i="2"/>
  <c r="P386" i="2"/>
  <c r="P394" i="2"/>
  <c r="P402" i="2"/>
  <c r="P410" i="2"/>
  <c r="P417" i="2"/>
  <c r="P422" i="2"/>
  <c r="P433" i="2"/>
  <c r="P438" i="2"/>
  <c r="P449" i="2"/>
  <c r="P454" i="2"/>
  <c r="P459" i="2"/>
  <c r="P705" i="2"/>
  <c r="P740" i="2"/>
  <c r="P764" i="2"/>
  <c r="P788" i="2"/>
  <c r="P812" i="2"/>
  <c r="P836" i="2"/>
  <c r="P860" i="2"/>
  <c r="P706" i="2"/>
  <c r="P710" i="2"/>
  <c r="P714" i="2"/>
  <c r="P718" i="2"/>
  <c r="P722" i="2"/>
  <c r="P725" i="2"/>
  <c r="P729" i="2"/>
  <c r="P733" i="2"/>
  <c r="P737" i="2"/>
  <c r="P741" i="2"/>
  <c r="P745" i="2"/>
  <c r="P749" i="2"/>
  <c r="P753" i="2"/>
  <c r="P757" i="2"/>
  <c r="P761" i="2"/>
  <c r="P765" i="2"/>
  <c r="P769" i="2"/>
  <c r="P773" i="2"/>
  <c r="P777" i="2"/>
  <c r="P781" i="2"/>
  <c r="P785" i="2"/>
  <c r="P789" i="2"/>
  <c r="P793" i="2"/>
  <c r="P797" i="2"/>
  <c r="P801" i="2"/>
  <c r="P805" i="2"/>
  <c r="P809" i="2"/>
  <c r="P813" i="2"/>
  <c r="P817" i="2"/>
  <c r="P821" i="2"/>
  <c r="P825" i="2"/>
  <c r="P829" i="2"/>
  <c r="P833" i="2"/>
  <c r="P837" i="2"/>
  <c r="P841" i="2"/>
  <c r="P845" i="2"/>
  <c r="P849" i="2"/>
  <c r="P853" i="2"/>
  <c r="P857" i="2"/>
  <c r="P861" i="2"/>
  <c r="P865" i="2"/>
  <c r="P869" i="2"/>
  <c r="P873" i="2"/>
  <c r="P877" i="2"/>
  <c r="P881" i="2"/>
  <c r="P885" i="2"/>
  <c r="P713" i="2"/>
  <c r="P728" i="2"/>
  <c r="P752" i="2"/>
  <c r="P776" i="2"/>
  <c r="P800" i="2"/>
  <c r="P820" i="2"/>
  <c r="P848" i="2"/>
  <c r="P872" i="2"/>
  <c r="P736" i="2"/>
  <c r="P760" i="2"/>
  <c r="P784" i="2"/>
  <c r="P808" i="2"/>
  <c r="P828" i="2"/>
  <c r="P864" i="2"/>
  <c r="P884" i="2"/>
  <c r="P703" i="2"/>
  <c r="P707" i="2"/>
  <c r="P711" i="2"/>
  <c r="P715" i="2"/>
  <c r="P719" i="2"/>
  <c r="P723" i="2"/>
  <c r="P726" i="2"/>
  <c r="P730" i="2"/>
  <c r="P734" i="2"/>
  <c r="P738" i="2"/>
  <c r="P742" i="2"/>
  <c r="P746" i="2"/>
  <c r="P750" i="2"/>
  <c r="P754" i="2"/>
  <c r="P758" i="2"/>
  <c r="P762" i="2"/>
  <c r="P766" i="2"/>
  <c r="P770" i="2"/>
  <c r="P774" i="2"/>
  <c r="P778" i="2"/>
  <c r="P782" i="2"/>
  <c r="P786" i="2"/>
  <c r="P790" i="2"/>
  <c r="P794" i="2"/>
  <c r="P798" i="2"/>
  <c r="P802" i="2"/>
  <c r="P806" i="2"/>
  <c r="P810" i="2"/>
  <c r="P814" i="2"/>
  <c r="P818" i="2"/>
  <c r="P822" i="2"/>
  <c r="P826" i="2"/>
  <c r="P830" i="2"/>
  <c r="P834" i="2"/>
  <c r="P838" i="2"/>
  <c r="P842" i="2"/>
  <c r="P846" i="2"/>
  <c r="P850" i="2"/>
  <c r="P854" i="2"/>
  <c r="P858" i="2"/>
  <c r="P862" i="2"/>
  <c r="P866" i="2"/>
  <c r="P870" i="2"/>
  <c r="P874" i="2"/>
  <c r="P878" i="2"/>
  <c r="P882" i="2"/>
  <c r="P886" i="2"/>
  <c r="P721" i="2"/>
  <c r="P732" i="2"/>
  <c r="P756" i="2"/>
  <c r="P780" i="2"/>
  <c r="P804" i="2"/>
  <c r="P832" i="2"/>
  <c r="P856" i="2"/>
  <c r="P880" i="2"/>
  <c r="P717" i="2"/>
  <c r="P744" i="2"/>
  <c r="P768" i="2"/>
  <c r="P792" i="2"/>
  <c r="P816" i="2"/>
  <c r="P840" i="2"/>
  <c r="P852" i="2"/>
  <c r="P876" i="2"/>
  <c r="P704" i="2"/>
  <c r="P708" i="2"/>
  <c r="P712" i="2"/>
  <c r="P716" i="2"/>
  <c r="P720" i="2"/>
  <c r="P724" i="2"/>
  <c r="P727" i="2"/>
  <c r="P731" i="2"/>
  <c r="P735" i="2"/>
  <c r="P739" i="2"/>
  <c r="P743" i="2"/>
  <c r="P747" i="2"/>
  <c r="P751" i="2"/>
  <c r="P755" i="2"/>
  <c r="P759" i="2"/>
  <c r="P763" i="2"/>
  <c r="P767" i="2"/>
  <c r="P771" i="2"/>
  <c r="P775" i="2"/>
  <c r="P779" i="2"/>
  <c r="P783" i="2"/>
  <c r="P787" i="2"/>
  <c r="P791" i="2"/>
  <c r="P795" i="2"/>
  <c r="P799" i="2"/>
  <c r="P803" i="2"/>
  <c r="P807" i="2"/>
  <c r="P811" i="2"/>
  <c r="P815" i="2"/>
  <c r="P819" i="2"/>
  <c r="P823" i="2"/>
  <c r="P827" i="2"/>
  <c r="P831" i="2"/>
  <c r="P835" i="2"/>
  <c r="P839" i="2"/>
  <c r="P843" i="2"/>
  <c r="P847" i="2"/>
  <c r="P851" i="2"/>
  <c r="P855" i="2"/>
  <c r="P859" i="2"/>
  <c r="P863" i="2"/>
  <c r="P867" i="2"/>
  <c r="P871" i="2"/>
  <c r="P875" i="2"/>
  <c r="P879" i="2"/>
  <c r="P883" i="2"/>
  <c r="P709" i="2"/>
  <c r="P748" i="2"/>
  <c r="P772" i="2"/>
  <c r="P796" i="2"/>
  <c r="P824" i="2"/>
  <c r="P844" i="2"/>
  <c r="P868" i="2"/>
  <c r="O18" i="2"/>
  <c r="N18" i="2" s="1"/>
  <c r="O26" i="2"/>
  <c r="N26" i="2" s="1"/>
  <c r="O42" i="2"/>
  <c r="N42" i="2" s="1"/>
  <c r="O50" i="2"/>
  <c r="N50" i="2" s="1"/>
  <c r="O58" i="2"/>
  <c r="N58" i="2" s="1"/>
  <c r="O66" i="2"/>
  <c r="N66" i="2" s="1"/>
  <c r="O74" i="2"/>
  <c r="N74" i="2" s="1"/>
  <c r="O90" i="2"/>
  <c r="N90" i="2" s="1"/>
  <c r="O98" i="2"/>
  <c r="N98" i="2" s="1"/>
  <c r="O121" i="2"/>
  <c r="N121" i="2" s="1"/>
  <c r="O129" i="2"/>
  <c r="N129" i="2" s="1"/>
  <c r="O137" i="2"/>
  <c r="N137" i="2" s="1"/>
  <c r="O161" i="2"/>
  <c r="N161" i="2" s="1"/>
  <c r="O185" i="2"/>
  <c r="N185" i="2" s="1"/>
  <c r="O193" i="2"/>
  <c r="N193" i="2" s="1"/>
  <c r="O331" i="2"/>
  <c r="N331" i="2" s="1"/>
  <c r="O339" i="2"/>
  <c r="N339" i="2" s="1"/>
  <c r="O347" i="2"/>
  <c r="N347" i="2" s="1"/>
  <c r="O355" i="2"/>
  <c r="N355" i="2" s="1"/>
  <c r="O363" i="2"/>
  <c r="N363" i="2" s="1"/>
  <c r="O468" i="2"/>
  <c r="N468" i="2" s="1"/>
  <c r="O476" i="2"/>
  <c r="N476" i="2" s="1"/>
  <c r="O484" i="2"/>
  <c r="N484" i="2" s="1"/>
  <c r="O492" i="2"/>
  <c r="N492" i="2" s="1"/>
  <c r="O500" i="2"/>
  <c r="N500" i="2" s="1"/>
  <c r="O516" i="2"/>
  <c r="N516" i="2" s="1"/>
  <c r="O731" i="2"/>
  <c r="N731" i="2" s="1"/>
  <c r="O739" i="2"/>
  <c r="N739" i="2" s="1"/>
  <c r="O747" i="2"/>
  <c r="N747" i="2" s="1"/>
  <c r="O755" i="2"/>
  <c r="N755" i="2" s="1"/>
  <c r="O763" i="2"/>
  <c r="N763" i="2" s="1"/>
  <c r="O779" i="2"/>
  <c r="N779" i="2" s="1"/>
  <c r="O787" i="2"/>
  <c r="N787" i="2" s="1"/>
  <c r="O803" i="2"/>
  <c r="N803" i="2" s="1"/>
  <c r="O811" i="2"/>
  <c r="N811" i="2" s="1"/>
  <c r="O819" i="2"/>
  <c r="N819" i="2" s="1"/>
  <c r="O835" i="2"/>
  <c r="N835" i="2" s="1"/>
  <c r="O843" i="2"/>
  <c r="N843" i="2" s="1"/>
  <c r="O851" i="2"/>
  <c r="N851" i="2" s="1"/>
  <c r="O867" i="2"/>
  <c r="N867" i="2" s="1"/>
  <c r="O875" i="2"/>
  <c r="N875" i="2" s="1"/>
  <c r="O883" i="2"/>
  <c r="N883" i="2" s="1"/>
  <c r="O329" i="2"/>
  <c r="N329" i="2" s="1"/>
  <c r="O482" i="2"/>
  <c r="N482" i="2" s="1"/>
  <c r="O769" i="2"/>
  <c r="N769" i="2" s="1"/>
  <c r="O809" i="2"/>
  <c r="N809" i="2" s="1"/>
  <c r="O41" i="2"/>
  <c r="N41" i="2" s="1"/>
  <c r="O97" i="2"/>
  <c r="N97" i="2" s="1"/>
  <c r="O176" i="2"/>
  <c r="N176" i="2" s="1"/>
  <c r="O362" i="2"/>
  <c r="N362" i="2" s="1"/>
  <c r="O730" i="2"/>
  <c r="N730" i="2" s="1"/>
  <c r="O786" i="2"/>
  <c r="N786" i="2" s="1"/>
  <c r="O842" i="2"/>
  <c r="N842" i="2" s="1"/>
  <c r="O850" i="2"/>
  <c r="N850" i="2" s="1"/>
  <c r="O35" i="2"/>
  <c r="N35" i="2" s="1"/>
  <c r="O43" i="2"/>
  <c r="N43" i="2" s="1"/>
  <c r="O51" i="2"/>
  <c r="N51" i="2" s="1"/>
  <c r="O59" i="2"/>
  <c r="N59" i="2" s="1"/>
  <c r="O67" i="2"/>
  <c r="N67" i="2" s="1"/>
  <c r="O75" i="2"/>
  <c r="N75" i="2" s="1"/>
  <c r="O83" i="2"/>
  <c r="N83" i="2" s="1"/>
  <c r="O91" i="2"/>
  <c r="N91" i="2" s="1"/>
  <c r="O99" i="2"/>
  <c r="N99" i="2" s="1"/>
  <c r="O114" i="2"/>
  <c r="N114" i="2" s="1"/>
  <c r="O122" i="2"/>
  <c r="N122" i="2" s="1"/>
  <c r="O130" i="2"/>
  <c r="N130" i="2" s="1"/>
  <c r="O138" i="2"/>
  <c r="N138" i="2" s="1"/>
  <c r="O146" i="2"/>
  <c r="N146" i="2" s="1"/>
  <c r="O154" i="2"/>
  <c r="N154" i="2" s="1"/>
  <c r="O162" i="2"/>
  <c r="N162" i="2" s="1"/>
  <c r="O178" i="2"/>
  <c r="N178" i="2" s="1"/>
  <c r="O186" i="2"/>
  <c r="N186" i="2" s="1"/>
  <c r="O340" i="2"/>
  <c r="N340" i="2" s="1"/>
  <c r="O356" i="2"/>
  <c r="N356" i="2" s="1"/>
  <c r="O364" i="2"/>
  <c r="N364" i="2" s="1"/>
  <c r="O461" i="2"/>
  <c r="N461" i="2" s="1"/>
  <c r="O469" i="2"/>
  <c r="N469" i="2" s="1"/>
  <c r="O477" i="2"/>
  <c r="N477" i="2" s="1"/>
  <c r="O485" i="2"/>
  <c r="N485" i="2" s="1"/>
  <c r="O493" i="2"/>
  <c r="N493" i="2" s="1"/>
  <c r="O517" i="2"/>
  <c r="N517" i="2" s="1"/>
  <c r="O732" i="2"/>
  <c r="N732" i="2" s="1"/>
  <c r="O740" i="2"/>
  <c r="N740" i="2" s="1"/>
  <c r="O756" i="2"/>
  <c r="N756" i="2" s="1"/>
  <c r="O780" i="2"/>
  <c r="N780" i="2" s="1"/>
  <c r="O796" i="2"/>
  <c r="N796" i="2" s="1"/>
  <c r="O804" i="2"/>
  <c r="N804" i="2" s="1"/>
  <c r="O812" i="2"/>
  <c r="N812" i="2" s="1"/>
  <c r="O820" i="2"/>
  <c r="N820" i="2" s="1"/>
  <c r="O828" i="2"/>
  <c r="N828" i="2" s="1"/>
  <c r="O836" i="2"/>
  <c r="N836" i="2" s="1"/>
  <c r="O844" i="2"/>
  <c r="N844" i="2" s="1"/>
  <c r="O852" i="2"/>
  <c r="N852" i="2" s="1"/>
  <c r="O860" i="2"/>
  <c r="N860" i="2" s="1"/>
  <c r="O868" i="2"/>
  <c r="N868" i="2" s="1"/>
  <c r="O876" i="2"/>
  <c r="N876" i="2" s="1"/>
  <c r="O884" i="2"/>
  <c r="N884" i="2" s="1"/>
  <c r="O24" i="2"/>
  <c r="N24" i="2" s="1"/>
  <c r="O56" i="2"/>
  <c r="N56" i="2" s="1"/>
  <c r="O96" i="2"/>
  <c r="N96" i="2" s="1"/>
  <c r="O167" i="2"/>
  <c r="N167" i="2" s="1"/>
  <c r="O199" i="2"/>
  <c r="N199" i="2" s="1"/>
  <c r="O498" i="2"/>
  <c r="N498" i="2" s="1"/>
  <c r="O785" i="2"/>
  <c r="N785" i="2" s="1"/>
  <c r="O841" i="2"/>
  <c r="N841" i="2" s="1"/>
  <c r="O17" i="2"/>
  <c r="N17" i="2" s="1"/>
  <c r="O89" i="2"/>
  <c r="N89" i="2" s="1"/>
  <c r="O136" i="2"/>
  <c r="N136" i="2" s="1"/>
  <c r="O499" i="2"/>
  <c r="N499" i="2" s="1"/>
  <c r="O802" i="2"/>
  <c r="N802" i="2" s="1"/>
  <c r="O858" i="2"/>
  <c r="N858" i="2" s="1"/>
  <c r="O12" i="2"/>
  <c r="N12" i="2" s="1"/>
  <c r="O36" i="2"/>
  <c r="N36" i="2" s="1"/>
  <c r="O52" i="2"/>
  <c r="N52" i="2" s="1"/>
  <c r="O60" i="2"/>
  <c r="N60" i="2" s="1"/>
  <c r="O76" i="2"/>
  <c r="N76" i="2" s="1"/>
  <c r="O84" i="2"/>
  <c r="N84" i="2" s="1"/>
  <c r="O92" i="2"/>
  <c r="N92" i="2" s="1"/>
  <c r="O100" i="2"/>
  <c r="N100" i="2" s="1"/>
  <c r="O115" i="2"/>
  <c r="N115" i="2" s="1"/>
  <c r="O123" i="2"/>
  <c r="N123" i="2" s="1"/>
  <c r="O131" i="2"/>
  <c r="N131" i="2" s="1"/>
  <c r="O139" i="2"/>
  <c r="N139" i="2" s="1"/>
  <c r="O147" i="2"/>
  <c r="N147" i="2" s="1"/>
  <c r="O155" i="2"/>
  <c r="N155" i="2" s="1"/>
  <c r="O163" i="2"/>
  <c r="N163" i="2" s="1"/>
  <c r="O171" i="2"/>
  <c r="N171" i="2" s="1"/>
  <c r="O325" i="2"/>
  <c r="N325" i="2" s="1"/>
  <c r="O341" i="2"/>
  <c r="N341" i="2" s="1"/>
  <c r="O357" i="2"/>
  <c r="N357" i="2" s="1"/>
  <c r="O462" i="2"/>
  <c r="N462" i="2" s="1"/>
  <c r="O470" i="2"/>
  <c r="N470" i="2" s="1"/>
  <c r="O478" i="2"/>
  <c r="N478" i="2" s="1"/>
  <c r="O486" i="2"/>
  <c r="N486" i="2" s="1"/>
  <c r="O494" i="2"/>
  <c r="N494" i="2" s="1"/>
  <c r="O518" i="2"/>
  <c r="N518" i="2" s="1"/>
  <c r="O725" i="2"/>
  <c r="N725" i="2" s="1"/>
  <c r="O733" i="2"/>
  <c r="N733" i="2" s="1"/>
  <c r="O741" i="2"/>
  <c r="N741" i="2" s="1"/>
  <c r="O749" i="2"/>
  <c r="N749" i="2" s="1"/>
  <c r="O757" i="2"/>
  <c r="N757" i="2" s="1"/>
  <c r="O781" i="2"/>
  <c r="N781" i="2" s="1"/>
  <c r="O789" i="2"/>
  <c r="N789" i="2" s="1"/>
  <c r="O797" i="2"/>
  <c r="N797" i="2" s="1"/>
  <c r="O813" i="2"/>
  <c r="N813" i="2" s="1"/>
  <c r="O821" i="2"/>
  <c r="N821" i="2" s="1"/>
  <c r="O829" i="2"/>
  <c r="N829" i="2" s="1"/>
  <c r="O837" i="2"/>
  <c r="N837" i="2" s="1"/>
  <c r="O845" i="2"/>
  <c r="N845" i="2" s="1"/>
  <c r="O853" i="2"/>
  <c r="N853" i="2" s="1"/>
  <c r="O861" i="2"/>
  <c r="N861" i="2" s="1"/>
  <c r="O869" i="2"/>
  <c r="N869" i="2" s="1"/>
  <c r="O877" i="2"/>
  <c r="N877" i="2" s="1"/>
  <c r="O885" i="2"/>
  <c r="N885" i="2" s="1"/>
  <c r="O879" i="2"/>
  <c r="N879" i="2" s="1"/>
  <c r="O32" i="2"/>
  <c r="N32" i="2" s="1"/>
  <c r="O80" i="2"/>
  <c r="N80" i="2" s="1"/>
  <c r="O112" i="2"/>
  <c r="N112" i="2" s="1"/>
  <c r="O135" i="2"/>
  <c r="N135" i="2" s="1"/>
  <c r="O183" i="2"/>
  <c r="N183" i="2" s="1"/>
  <c r="O353" i="2"/>
  <c r="N353" i="2" s="1"/>
  <c r="O466" i="2"/>
  <c r="N466" i="2" s="1"/>
  <c r="O514" i="2"/>
  <c r="N514" i="2" s="1"/>
  <c r="O849" i="2"/>
  <c r="N849" i="2" s="1"/>
  <c r="O81" i="2"/>
  <c r="N81" i="2" s="1"/>
  <c r="O128" i="2"/>
  <c r="N128" i="2" s="1"/>
  <c r="O192" i="2"/>
  <c r="N192" i="2" s="1"/>
  <c r="O330" i="2"/>
  <c r="N330" i="2" s="1"/>
  <c r="O491" i="2"/>
  <c r="N491" i="2" s="1"/>
  <c r="O762" i="2"/>
  <c r="N762" i="2" s="1"/>
  <c r="O826" i="2"/>
  <c r="N826" i="2" s="1"/>
  <c r="O21" i="2"/>
  <c r="N21" i="2" s="1"/>
  <c r="O29" i="2"/>
  <c r="N29" i="2" s="1"/>
  <c r="O37" i="2"/>
  <c r="N37" i="2" s="1"/>
  <c r="O45" i="2"/>
  <c r="N45" i="2" s="1"/>
  <c r="O53" i="2"/>
  <c r="N53" i="2" s="1"/>
  <c r="O69" i="2"/>
  <c r="N69" i="2" s="1"/>
  <c r="O77" i="2"/>
  <c r="N77" i="2" s="1"/>
  <c r="O93" i="2"/>
  <c r="N93" i="2" s="1"/>
  <c r="O101" i="2"/>
  <c r="N101" i="2" s="1"/>
  <c r="O109" i="2"/>
  <c r="N109" i="2" s="1"/>
  <c r="O116" i="2"/>
  <c r="N116" i="2" s="1"/>
  <c r="O124" i="2"/>
  <c r="N124" i="2" s="1"/>
  <c r="O132" i="2"/>
  <c r="N132" i="2" s="1"/>
  <c r="O140" i="2"/>
  <c r="N140" i="2" s="1"/>
  <c r="O156" i="2"/>
  <c r="N156" i="2" s="1"/>
  <c r="O164" i="2"/>
  <c r="N164" i="2" s="1"/>
  <c r="O172" i="2"/>
  <c r="N172" i="2" s="1"/>
  <c r="O188" i="2"/>
  <c r="N188" i="2" s="1"/>
  <c r="O326" i="2"/>
  <c r="N326" i="2" s="1"/>
  <c r="O342" i="2"/>
  <c r="N342" i="2" s="1"/>
  <c r="O350" i="2"/>
  <c r="N350" i="2" s="1"/>
  <c r="O358" i="2"/>
  <c r="N358" i="2" s="1"/>
  <c r="O463" i="2"/>
  <c r="N463" i="2" s="1"/>
  <c r="O471" i="2"/>
  <c r="N471" i="2" s="1"/>
  <c r="O479" i="2"/>
  <c r="N479" i="2" s="1"/>
  <c r="O487" i="2"/>
  <c r="N487" i="2" s="1"/>
  <c r="O495" i="2"/>
  <c r="N495" i="2" s="1"/>
  <c r="O734" i="2"/>
  <c r="N734" i="2" s="1"/>
  <c r="O742" i="2"/>
  <c r="N742" i="2" s="1"/>
  <c r="O750" i="2"/>
  <c r="N750" i="2" s="1"/>
  <c r="O758" i="2"/>
  <c r="N758" i="2" s="1"/>
  <c r="O766" i="2"/>
  <c r="N766" i="2" s="1"/>
  <c r="O790" i="2"/>
  <c r="N790" i="2" s="1"/>
  <c r="O798" i="2"/>
  <c r="N798" i="2" s="1"/>
  <c r="O806" i="2"/>
  <c r="N806" i="2" s="1"/>
  <c r="O814" i="2"/>
  <c r="N814" i="2" s="1"/>
  <c r="O822" i="2"/>
  <c r="N822" i="2" s="1"/>
  <c r="O830" i="2"/>
  <c r="N830" i="2" s="1"/>
  <c r="O838" i="2"/>
  <c r="N838" i="2" s="1"/>
  <c r="O846" i="2"/>
  <c r="N846" i="2" s="1"/>
  <c r="O854" i="2"/>
  <c r="N854" i="2" s="1"/>
  <c r="O862" i="2"/>
  <c r="N862" i="2" s="1"/>
  <c r="O878" i="2"/>
  <c r="N878" i="2" s="1"/>
  <c r="O886" i="2"/>
  <c r="N886" i="2" s="1"/>
  <c r="O735" i="2"/>
  <c r="N735" i="2" s="1"/>
  <c r="O751" i="2"/>
  <c r="N751" i="2" s="1"/>
  <c r="O767" i="2"/>
  <c r="N767" i="2" s="1"/>
  <c r="O783" i="2"/>
  <c r="N783" i="2" s="1"/>
  <c r="O799" i="2"/>
  <c r="N799" i="2" s="1"/>
  <c r="O815" i="2"/>
  <c r="N815" i="2" s="1"/>
  <c r="O823" i="2"/>
  <c r="N823" i="2" s="1"/>
  <c r="O839" i="2"/>
  <c r="N839" i="2" s="1"/>
  <c r="O855" i="2"/>
  <c r="N855" i="2" s="1"/>
  <c r="O40" i="2"/>
  <c r="N40" i="2" s="1"/>
  <c r="O72" i="2"/>
  <c r="N72" i="2" s="1"/>
  <c r="O104" i="2"/>
  <c r="N104" i="2" s="1"/>
  <c r="O143" i="2"/>
  <c r="N143" i="2" s="1"/>
  <c r="O175" i="2"/>
  <c r="N175" i="2" s="1"/>
  <c r="O337" i="2"/>
  <c r="N337" i="2" s="1"/>
  <c r="O490" i="2"/>
  <c r="N490" i="2" s="1"/>
  <c r="O825" i="2"/>
  <c r="N825" i="2" s="1"/>
  <c r="O25" i="2"/>
  <c r="N25" i="2" s="1"/>
  <c r="O65" i="2"/>
  <c r="N65" i="2" s="1"/>
  <c r="O113" i="2"/>
  <c r="N113" i="2" s="1"/>
  <c r="O160" i="2"/>
  <c r="N160" i="2" s="1"/>
  <c r="O354" i="2"/>
  <c r="N354" i="2" s="1"/>
  <c r="O483" i="2"/>
  <c r="N483" i="2" s="1"/>
  <c r="O746" i="2"/>
  <c r="N746" i="2" s="1"/>
  <c r="O810" i="2"/>
  <c r="N810" i="2" s="1"/>
  <c r="O14" i="2"/>
  <c r="N14" i="2" s="1"/>
  <c r="O22" i="2"/>
  <c r="N22" i="2" s="1"/>
  <c r="O30" i="2"/>
  <c r="N30" i="2" s="1"/>
  <c r="O46" i="2"/>
  <c r="N46" i="2" s="1"/>
  <c r="O62" i="2"/>
  <c r="N62" i="2" s="1"/>
  <c r="O70" i="2"/>
  <c r="N70" i="2" s="1"/>
  <c r="O78" i="2"/>
  <c r="N78" i="2" s="1"/>
  <c r="O86" i="2"/>
  <c r="N86" i="2" s="1"/>
  <c r="O94" i="2"/>
  <c r="N94" i="2" s="1"/>
  <c r="O102" i="2"/>
  <c r="N102" i="2" s="1"/>
  <c r="O117" i="2"/>
  <c r="N117" i="2" s="1"/>
  <c r="O125" i="2"/>
  <c r="N125" i="2" s="1"/>
  <c r="O133" i="2"/>
  <c r="N133" i="2" s="1"/>
  <c r="O141" i="2"/>
  <c r="N141" i="2" s="1"/>
  <c r="O149" i="2"/>
  <c r="N149" i="2" s="1"/>
  <c r="O165" i="2"/>
  <c r="N165" i="2" s="1"/>
  <c r="O181" i="2"/>
  <c r="N181" i="2" s="1"/>
  <c r="O189" i="2"/>
  <c r="N189" i="2" s="1"/>
  <c r="O205" i="2"/>
  <c r="N205" i="2" s="1"/>
  <c r="O327" i="2"/>
  <c r="N327" i="2" s="1"/>
  <c r="O343" i="2"/>
  <c r="N343" i="2" s="1"/>
  <c r="O351" i="2"/>
  <c r="N351" i="2" s="1"/>
  <c r="O359" i="2"/>
  <c r="N359" i="2" s="1"/>
  <c r="O464" i="2"/>
  <c r="N464" i="2" s="1"/>
  <c r="O472" i="2"/>
  <c r="N472" i="2" s="1"/>
  <c r="O480" i="2"/>
  <c r="N480" i="2" s="1"/>
  <c r="O488" i="2"/>
  <c r="N488" i="2" s="1"/>
  <c r="O496" i="2"/>
  <c r="N496" i="2" s="1"/>
  <c r="O504" i="2"/>
  <c r="N504" i="2" s="1"/>
  <c r="O727" i="2"/>
  <c r="N727" i="2" s="1"/>
  <c r="O743" i="2"/>
  <c r="N743" i="2" s="1"/>
  <c r="O759" i="2"/>
  <c r="N759" i="2" s="1"/>
  <c r="O775" i="2"/>
  <c r="N775" i="2" s="1"/>
  <c r="O791" i="2"/>
  <c r="N791" i="2" s="1"/>
  <c r="O807" i="2"/>
  <c r="N807" i="2" s="1"/>
  <c r="O831" i="2"/>
  <c r="N831" i="2" s="1"/>
  <c r="O847" i="2"/>
  <c r="N847" i="2" s="1"/>
  <c r="O871" i="2"/>
  <c r="N871" i="2" s="1"/>
  <c r="O16" i="2"/>
  <c r="N16" i="2" s="1"/>
  <c r="O48" i="2"/>
  <c r="N48" i="2" s="1"/>
  <c r="O88" i="2"/>
  <c r="N88" i="2" s="1"/>
  <c r="O119" i="2"/>
  <c r="N119" i="2" s="1"/>
  <c r="O159" i="2"/>
  <c r="N159" i="2" s="1"/>
  <c r="O191" i="2"/>
  <c r="N191" i="2" s="1"/>
  <c r="O361" i="2"/>
  <c r="N361" i="2" s="1"/>
  <c r="O474" i="2"/>
  <c r="N474" i="2" s="1"/>
  <c r="O777" i="2"/>
  <c r="N777" i="2" s="1"/>
  <c r="O873" i="2"/>
  <c r="N873" i="2" s="1"/>
  <c r="O33" i="2"/>
  <c r="N33" i="2" s="1"/>
  <c r="O73" i="2"/>
  <c r="N73" i="2" s="1"/>
  <c r="O120" i="2"/>
  <c r="N120" i="2" s="1"/>
  <c r="O184" i="2"/>
  <c r="N184" i="2" s="1"/>
  <c r="O338" i="2"/>
  <c r="N338" i="2" s="1"/>
  <c r="O475" i="2"/>
  <c r="N475" i="2" s="1"/>
  <c r="O738" i="2"/>
  <c r="N738" i="2" s="1"/>
  <c r="O818" i="2"/>
  <c r="N818" i="2" s="1"/>
  <c r="O866" i="2"/>
  <c r="N866" i="2" s="1"/>
  <c r="O15" i="2"/>
  <c r="N15" i="2" s="1"/>
  <c r="O23" i="2"/>
  <c r="N23" i="2" s="1"/>
  <c r="O31" i="2"/>
  <c r="N31" i="2" s="1"/>
  <c r="O39" i="2"/>
  <c r="N39" i="2" s="1"/>
  <c r="O47" i="2"/>
  <c r="N47" i="2" s="1"/>
  <c r="O55" i="2"/>
  <c r="N55" i="2" s="1"/>
  <c r="O71" i="2"/>
  <c r="N71" i="2" s="1"/>
  <c r="O79" i="2"/>
  <c r="N79" i="2" s="1"/>
  <c r="O95" i="2"/>
  <c r="N95" i="2" s="1"/>
  <c r="O103" i="2"/>
  <c r="N103" i="2" s="1"/>
  <c r="O111" i="2"/>
  <c r="N111" i="2" s="1"/>
  <c r="O118" i="2"/>
  <c r="N118" i="2" s="1"/>
  <c r="O126" i="2"/>
  <c r="N126" i="2" s="1"/>
  <c r="O134" i="2"/>
  <c r="N134" i="2" s="1"/>
  <c r="O142" i="2"/>
  <c r="N142" i="2" s="1"/>
  <c r="O158" i="2"/>
  <c r="N158" i="2" s="1"/>
  <c r="O166" i="2"/>
  <c r="N166" i="2" s="1"/>
  <c r="O174" i="2"/>
  <c r="N174" i="2" s="1"/>
  <c r="O190" i="2"/>
  <c r="N190" i="2" s="1"/>
  <c r="O328" i="2"/>
  <c r="N328" i="2" s="1"/>
  <c r="O336" i="2"/>
  <c r="N336" i="2" s="1"/>
  <c r="O344" i="2"/>
  <c r="N344" i="2" s="1"/>
  <c r="O352" i="2"/>
  <c r="N352" i="2" s="1"/>
  <c r="O360" i="2"/>
  <c r="N360" i="2" s="1"/>
  <c r="O465" i="2"/>
  <c r="N465" i="2" s="1"/>
  <c r="O473" i="2"/>
  <c r="N473" i="2" s="1"/>
  <c r="O481" i="2"/>
  <c r="N481" i="2" s="1"/>
  <c r="O489" i="2"/>
  <c r="N489" i="2" s="1"/>
  <c r="O497" i="2"/>
  <c r="N497" i="2" s="1"/>
  <c r="O728" i="2"/>
  <c r="N728" i="2" s="1"/>
  <c r="O736" i="2"/>
  <c r="N736" i="2" s="1"/>
  <c r="O744" i="2"/>
  <c r="N744" i="2" s="1"/>
  <c r="O768" i="2"/>
  <c r="N768" i="2" s="1"/>
  <c r="O776" i="2"/>
  <c r="N776" i="2" s="1"/>
  <c r="O784" i="2"/>
  <c r="N784" i="2" s="1"/>
  <c r="O792" i="2"/>
  <c r="N792" i="2" s="1"/>
  <c r="O800" i="2"/>
  <c r="N800" i="2" s="1"/>
  <c r="O808" i="2"/>
  <c r="N808" i="2" s="1"/>
  <c r="O816" i="2"/>
  <c r="N816" i="2" s="1"/>
  <c r="O824" i="2"/>
  <c r="N824" i="2" s="1"/>
  <c r="O840" i="2"/>
  <c r="N840" i="2" s="1"/>
  <c r="O848" i="2"/>
  <c r="N848" i="2" s="1"/>
  <c r="O856" i="2"/>
  <c r="N856" i="2" s="1"/>
  <c r="O872" i="2"/>
  <c r="N872" i="2" s="1"/>
  <c r="O737" i="2"/>
  <c r="N737" i="2" s="1"/>
  <c r="O801" i="2"/>
  <c r="N801" i="2" s="1"/>
  <c r="O857" i="2"/>
  <c r="N857" i="2" s="1"/>
  <c r="O49" i="2"/>
  <c r="N49" i="2" s="1"/>
  <c r="O467" i="2"/>
  <c r="N467" i="2" s="1"/>
  <c r="O515" i="2"/>
  <c r="N515" i="2" s="1"/>
  <c r="O778" i="2"/>
  <c r="N778" i="2" s="1"/>
  <c r="O834" i="2"/>
  <c r="N834" i="2" s="1"/>
  <c r="O882" i="2"/>
  <c r="N882" i="2" s="1"/>
  <c r="K33" i="37"/>
  <c r="E33" i="37"/>
  <c r="D33" i="37"/>
  <c r="B33" i="37"/>
  <c r="K26" i="37" l="1"/>
  <c r="K34" i="37" s="1"/>
  <c r="E15" i="37"/>
  <c r="E17" i="37"/>
  <c r="F17" i="37" s="1"/>
  <c r="E22" i="37"/>
  <c r="G22" i="37" s="1"/>
  <c r="E16" i="37"/>
  <c r="G16" i="37" s="1"/>
  <c r="E31" i="37"/>
  <c r="E27" i="37"/>
  <c r="G27" i="37" s="1"/>
  <c r="E28" i="37"/>
  <c r="F28" i="37" s="1"/>
  <c r="E18" i="37"/>
  <c r="F18" i="37" s="1"/>
  <c r="E29" i="37"/>
  <c r="G29" i="37" s="1"/>
  <c r="E26" i="37"/>
  <c r="F26" i="37" s="1"/>
  <c r="F25" i="37"/>
  <c r="G25" i="37"/>
  <c r="F24" i="37"/>
  <c r="G24" i="37"/>
  <c r="F19" i="37"/>
  <c r="G19" i="37"/>
  <c r="F20" i="37"/>
  <c r="G20" i="37"/>
  <c r="F23" i="37"/>
  <c r="G23" i="37"/>
  <c r="F21" i="37"/>
  <c r="G21" i="37"/>
  <c r="F32" i="37"/>
  <c r="G32" i="37"/>
  <c r="G30" i="37"/>
  <c r="F30" i="37"/>
  <c r="G33" i="37"/>
  <c r="F33" i="37"/>
  <c r="I30" i="38"/>
  <c r="I27" i="38"/>
  <c r="J27" i="38"/>
  <c r="K27" i="38"/>
  <c r="L27" i="38"/>
  <c r="M27" i="38"/>
  <c r="N27" i="38"/>
  <c r="I28" i="38"/>
  <c r="J28" i="38"/>
  <c r="K28" i="38"/>
  <c r="L28" i="38"/>
  <c r="M28" i="38"/>
  <c r="N28" i="38"/>
  <c r="I29" i="38"/>
  <c r="J29" i="38"/>
  <c r="K29" i="38"/>
  <c r="L29" i="38"/>
  <c r="M29" i="38"/>
  <c r="N29" i="38"/>
  <c r="F15" i="37" l="1"/>
  <c r="E34" i="37"/>
  <c r="G31" i="37"/>
  <c r="G17" i="37"/>
  <c r="G15" i="37"/>
  <c r="F22" i="37"/>
  <c r="F29" i="37"/>
  <c r="F31" i="37"/>
  <c r="F16" i="37"/>
  <c r="G28" i="37"/>
  <c r="G18" i="37"/>
  <c r="F27" i="37"/>
  <c r="G26" i="37"/>
  <c r="G34" i="37" l="1"/>
  <c r="C16" i="17"/>
  <c r="N30" i="38" l="1"/>
  <c r="M30" i="38"/>
  <c r="L30" i="38"/>
  <c r="K30" i="38"/>
  <c r="J30" i="38"/>
  <c r="J31" i="38" l="1"/>
  <c r="I31" i="38"/>
  <c r="M31" i="38"/>
  <c r="L31" i="38"/>
  <c r="I40" i="18"/>
  <c r="N40" i="18"/>
  <c r="M40" i="18"/>
  <c r="J27" i="28"/>
  <c r="J11" i="28"/>
  <c r="J12" i="28"/>
  <c r="J13" i="28"/>
  <c r="J14" i="28"/>
  <c r="J15" i="28"/>
  <c r="J16" i="28"/>
  <c r="J17" i="28"/>
  <c r="J18" i="28"/>
  <c r="J19" i="28"/>
  <c r="J20" i="28"/>
  <c r="J21" i="28"/>
  <c r="J22" i="28"/>
  <c r="J23" i="28"/>
  <c r="J24" i="28"/>
  <c r="J25" i="28"/>
  <c r="J10" i="28"/>
  <c r="N23" i="38"/>
  <c r="M23" i="38"/>
  <c r="L23" i="38"/>
  <c r="K23" i="38"/>
  <c r="J23" i="38"/>
  <c r="I23" i="38"/>
  <c r="B4" i="38"/>
  <c r="B4" i="37"/>
  <c r="N29" i="18"/>
  <c r="M29" i="18"/>
  <c r="L29" i="18"/>
  <c r="K29" i="18"/>
  <c r="J29" i="18"/>
  <c r="I29" i="18"/>
  <c r="B4" i="28"/>
  <c r="C4" i="2"/>
  <c r="B4" i="18"/>
  <c r="B4" i="17"/>
  <c r="B41" i="17"/>
  <c r="B47" i="17" s="1"/>
  <c r="B51" i="17" s="1"/>
  <c r="B52" i="17"/>
  <c r="J29" i="28" l="1"/>
  <c r="O29" i="18"/>
  <c r="E49" i="31"/>
  <c r="B49" i="17"/>
  <c r="B50" i="17"/>
  <c r="O23" i="38"/>
  <c r="K31" i="38"/>
  <c r="J40" i="18"/>
  <c r="N31" i="38"/>
  <c r="L40" i="18"/>
  <c r="K40" i="18"/>
  <c r="E12" i="38" l="1"/>
  <c r="E14" i="38" s="1"/>
  <c r="E12" i="18"/>
  <c r="E14" i="18" s="1"/>
  <c r="B53" i="17"/>
  <c r="E16" i="38" l="1"/>
  <c r="K46" i="38" s="1"/>
  <c r="K45" i="38"/>
  <c r="E17" i="18"/>
  <c r="K47" i="18" s="1"/>
  <c r="K45" i="18"/>
  <c r="E17" i="38"/>
  <c r="E16" i="18"/>
  <c r="G6" i="28" l="1"/>
  <c r="K52" i="18"/>
  <c r="E18" i="38"/>
  <c r="E20" i="38" s="1"/>
  <c r="K47" i="38"/>
  <c r="F34" i="37"/>
  <c r="E18" i="18"/>
  <c r="E20" i="18" s="1"/>
  <c r="C29" i="17" s="1"/>
  <c r="C31" i="17" s="1"/>
  <c r="C34" i="17" s="1"/>
  <c r="C21" i="17" s="1"/>
  <c r="C24" i="17" s="1"/>
  <c r="K46" i="18"/>
  <c r="E21" i="38" l="1"/>
  <c r="E22" i="38" s="1"/>
  <c r="E24" i="38" s="1"/>
  <c r="E21" i="18"/>
  <c r="K48" i="38" l="1"/>
  <c r="E25" i="38"/>
  <c r="E31" i="38" s="1"/>
  <c r="E42" i="38" s="1"/>
  <c r="K61" i="38" s="1"/>
  <c r="K49" i="38"/>
  <c r="E22" i="18"/>
  <c r="E24" i="18" s="1"/>
  <c r="K48" i="18"/>
  <c r="K63" i="38" l="1"/>
  <c r="E25" i="18"/>
  <c r="K49" i="18"/>
  <c r="E46" i="38"/>
  <c r="J22" i="37" l="1"/>
  <c r="J27" i="37"/>
  <c r="J20" i="37"/>
  <c r="J30" i="37"/>
  <c r="J19" i="37"/>
  <c r="J32" i="37"/>
  <c r="J29" i="37"/>
  <c r="J21" i="37"/>
  <c r="J25" i="37"/>
  <c r="J16" i="37"/>
  <c r="J24" i="37"/>
  <c r="J23" i="37"/>
  <c r="J17" i="37"/>
  <c r="J31" i="37"/>
  <c r="J28" i="37"/>
  <c r="J26" i="37"/>
  <c r="J18" i="37"/>
  <c r="J15" i="37"/>
  <c r="E31" i="18"/>
  <c r="E42" i="18" s="1"/>
  <c r="J33" i="37"/>
  <c r="F34" i="38"/>
  <c r="F35" i="38"/>
  <c r="F36" i="38"/>
  <c r="F37" i="38"/>
  <c r="F38" i="38"/>
  <c r="F39" i="38"/>
  <c r="F40" i="38"/>
  <c r="E48" i="38"/>
  <c r="K65" i="38" s="1"/>
  <c r="F33" i="38"/>
  <c r="E52" i="38"/>
  <c r="F18" i="38"/>
  <c r="F44" i="38"/>
  <c r="F25" i="38"/>
  <c r="E50" i="38"/>
  <c r="F22" i="38"/>
  <c r="F31" i="38"/>
  <c r="F42" i="38"/>
  <c r="J34" i="37" l="1"/>
  <c r="K61" i="18"/>
  <c r="K63" i="18" s="1"/>
  <c r="K69" i="38"/>
  <c r="K67" i="38"/>
  <c r="F46" i="38"/>
  <c r="E46" i="18" l="1"/>
  <c r="I24" i="37" l="1"/>
  <c r="I23" i="37"/>
  <c r="I30" i="37"/>
  <c r="I20" i="37"/>
  <c r="I25" i="37"/>
  <c r="I19" i="37"/>
  <c r="I18" i="37"/>
  <c r="I28" i="37"/>
  <c r="I17" i="37"/>
  <c r="I32" i="37"/>
  <c r="I26" i="37"/>
  <c r="I21" i="37"/>
  <c r="I15" i="37"/>
  <c r="I29" i="37"/>
  <c r="I16" i="37"/>
  <c r="I27" i="37"/>
  <c r="I31" i="37"/>
  <c r="I22" i="37"/>
  <c r="F31" i="18"/>
  <c r="I33" i="37"/>
  <c r="F33" i="18"/>
  <c r="F35" i="18"/>
  <c r="F36" i="18"/>
  <c r="F37" i="18"/>
  <c r="F38" i="18"/>
  <c r="F40" i="18"/>
  <c r="F34" i="18"/>
  <c r="F39" i="18"/>
  <c r="E48" i="18"/>
  <c r="K65" i="18" s="1"/>
  <c r="F25" i="18"/>
  <c r="F22" i="18"/>
  <c r="F44" i="18"/>
  <c r="F18" i="18"/>
  <c r="E52" i="18"/>
  <c r="E50" i="18"/>
  <c r="F42" i="18"/>
  <c r="M33" i="37" l="1"/>
  <c r="N33" i="37" s="1"/>
  <c r="I34" i="37"/>
  <c r="F17" i="31"/>
  <c r="G17" i="31" s="1"/>
  <c r="L21" i="37" s="1"/>
  <c r="M21" i="37" s="1"/>
  <c r="N21" i="37" s="1"/>
  <c r="F28" i="31"/>
  <c r="F18" i="31"/>
  <c r="G18" i="31" s="1"/>
  <c r="L22" i="37" s="1"/>
  <c r="M22" i="37" s="1"/>
  <c r="N22" i="37" s="1"/>
  <c r="F13" i="31"/>
  <c r="G13" i="31" s="1"/>
  <c r="L17" i="37" s="1"/>
  <c r="M17" i="37" s="1"/>
  <c r="N17" i="37" s="1"/>
  <c r="F22" i="31"/>
  <c r="G22" i="31" s="1"/>
  <c r="L26" i="37" s="1"/>
  <c r="M26" i="37" s="1"/>
  <c r="N26" i="37" s="1"/>
  <c r="F25" i="31"/>
  <c r="G25" i="31" s="1"/>
  <c r="L29" i="37" s="1"/>
  <c r="M29" i="37" s="1"/>
  <c r="N29" i="37" s="1"/>
  <c r="F23" i="31"/>
  <c r="G23" i="31" s="1"/>
  <c r="L27" i="37" s="1"/>
  <c r="M27" i="37" s="1"/>
  <c r="N27" i="37" s="1"/>
  <c r="F27" i="31"/>
  <c r="G27" i="31" s="1"/>
  <c r="L31" i="37" s="1"/>
  <c r="M31" i="37" s="1"/>
  <c r="N31" i="37" s="1"/>
  <c r="F14" i="31"/>
  <c r="G14" i="31" s="1"/>
  <c r="L18" i="37" s="1"/>
  <c r="M18" i="37" s="1"/>
  <c r="N18" i="37" s="1"/>
  <c r="F19" i="31"/>
  <c r="G19" i="31" s="1"/>
  <c r="L23" i="37" s="1"/>
  <c r="M23" i="37" s="1"/>
  <c r="N23" i="37" s="1"/>
  <c r="F24" i="31"/>
  <c r="G24" i="31" s="1"/>
  <c r="L28" i="37" s="1"/>
  <c r="M28" i="37" s="1"/>
  <c r="N28" i="37" s="1"/>
  <c r="F20" i="31"/>
  <c r="F11" i="31"/>
  <c r="G11" i="31" s="1"/>
  <c r="F15" i="31"/>
  <c r="G15" i="31" s="1"/>
  <c r="L19" i="37" s="1"/>
  <c r="M19" i="37" s="1"/>
  <c r="N19" i="37" s="1"/>
  <c r="F21" i="31"/>
  <c r="F26" i="31"/>
  <c r="G26" i="31" s="1"/>
  <c r="L30" i="37" s="1"/>
  <c r="M30" i="37" s="1"/>
  <c r="N30" i="37" s="1"/>
  <c r="F12" i="31"/>
  <c r="G12" i="31" s="1"/>
  <c r="L16" i="37" s="1"/>
  <c r="M16" i="37" s="1"/>
  <c r="N16" i="37" s="1"/>
  <c r="F16" i="31"/>
  <c r="G16" i="31" s="1"/>
  <c r="L20" i="37" s="1"/>
  <c r="M20" i="37" s="1"/>
  <c r="N20" i="37" s="1"/>
  <c r="F46" i="18"/>
  <c r="K67" i="18"/>
  <c r="K69" i="18"/>
  <c r="L15" i="37" l="1"/>
  <c r="M15" i="37" s="1"/>
  <c r="N15" i="37" s="1"/>
  <c r="G20" i="31"/>
  <c r="L24" i="37" s="1"/>
  <c r="M24" i="37" s="1"/>
  <c r="N24" i="37" s="1"/>
  <c r="G21" i="31" l="1"/>
  <c r="L25" i="37" s="1"/>
  <c r="M25" i="37" s="1"/>
  <c r="N25" i="37" s="1"/>
  <c r="G28" i="31" l="1"/>
  <c r="G49" i="31" s="1"/>
  <c r="L32" i="37" l="1"/>
  <c r="M32" i="37" s="1"/>
  <c r="N32" i="37" s="1"/>
  <c r="L34" i="37" l="1"/>
  <c r="M34" i="37" l="1"/>
  <c r="N1" i="37" s="1"/>
  <c r="N34" i="37"/>
  <c r="N2" i="37" l="1"/>
  <c r="N3" i="37" s="1"/>
</calcChain>
</file>

<file path=xl/sharedStrings.xml><?xml version="1.0" encoding="utf-8"?>
<sst xmlns="http://schemas.openxmlformats.org/spreadsheetml/2006/main" count="9379" uniqueCount="735">
  <si>
    <t>Naam opdrachtgever</t>
  </si>
  <si>
    <t>Calculatie onderdeel</t>
  </si>
  <si>
    <t>Gebouw/plaats</t>
  </si>
  <si>
    <t>Referentie nummer</t>
  </si>
  <si>
    <t>Invoervelden</t>
  </si>
  <si>
    <t>Minimale taakgrootte</t>
  </si>
  <si>
    <t>EINDTOTAAL KOSTEN PER JAAR  EXCLUSIEF BTW         INSCHRIJVINGSBEDRAG</t>
  </si>
  <si>
    <t>uur per dag</t>
  </si>
  <si>
    <t>Toezicht percentage</t>
  </si>
  <si>
    <t>per prod. Uur</t>
  </si>
  <si>
    <t>MAXIMALE BOVENGRENS PLAFONDBEDRAG INSCHRIJVINGSBEDRAG</t>
  </si>
  <si>
    <t>MAXIMALE ONDERGRENS INSCHRIJVINGSBEDRAG</t>
  </si>
  <si>
    <t>Naam dienstverlener</t>
  </si>
  <si>
    <t>Prijspeil</t>
  </si>
  <si>
    <t>Versie</t>
  </si>
  <si>
    <t>Locatie</t>
  </si>
  <si>
    <t>Locatie factor</t>
  </si>
  <si>
    <t>Hoogste frequentie ma t/m vr</t>
  </si>
  <si>
    <t>Productie uren ma t/m vr</t>
  </si>
  <si>
    <t>Uren minimale taakgrootte ma t/m vrij</t>
  </si>
  <si>
    <t>Toezicht uren per jaar ma t/m vr</t>
  </si>
  <si>
    <t>Algemeen</t>
  </si>
  <si>
    <t>Totaal</t>
  </si>
  <si>
    <t xml:space="preserve">Kosten toezicht per jaar ma t/m vr </t>
  </si>
  <si>
    <t>Kosten vloeronderhoud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</si>
  <si>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</si>
  <si>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</si>
  <si>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</si>
  <si>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</si>
  <si>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</si>
  <si>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</si>
  <si>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</si>
  <si>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</si>
  <si>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</si>
  <si>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</si>
  <si>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</si>
  <si>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</si>
  <si>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</si>
  <si>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</si>
  <si>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</si>
  <si>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</si>
  <si>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Pantry/keuken</t>
  </si>
  <si>
    <t>Restauratieve ruimten</t>
  </si>
  <si>
    <t>Vergaderruimten</t>
  </si>
  <si>
    <t>Opslagruimte</t>
  </si>
  <si>
    <t>Sportzaal</t>
  </si>
  <si>
    <t>Multifunctionele ruimten</t>
  </si>
  <si>
    <t>Entree</t>
  </si>
  <si>
    <t>Trappenhuis</t>
  </si>
  <si>
    <t>Lift</t>
  </si>
  <si>
    <t>Kolom voor matrix</t>
  </si>
  <si>
    <t>Frequentie verklaring</t>
  </si>
  <si>
    <t>Freq</t>
  </si>
  <si>
    <t>Kolom</t>
  </si>
  <si>
    <t>1 x per maand</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</si>
  <si>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</si>
  <si>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</si>
  <si>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</si>
  <si>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</si>
  <si>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</si>
  <si>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</si>
  <si>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</si>
  <si>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</si>
  <si>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</si>
  <si>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</si>
  <si>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</si>
  <si>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</si>
  <si>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</si>
  <si>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</si>
  <si>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</si>
  <si>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Linoleum</t>
  </si>
  <si>
    <t>Sanitair</t>
  </si>
  <si>
    <t>Beton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</si>
  <si>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</si>
  <si>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</si>
  <si>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</si>
  <si>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</si>
  <si>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</si>
  <si>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</si>
  <si>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</si>
  <si>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</si>
  <si>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</si>
  <si>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</si>
  <si>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</si>
  <si>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</si>
  <si>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</si>
  <si>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</si>
  <si>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</si>
  <si>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</si>
  <si>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</si>
  <si>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</si>
  <si>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</si>
  <si>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</si>
  <si>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</si>
  <si>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</si>
  <si>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</si>
  <si>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</si>
  <si>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</si>
  <si>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</si>
  <si>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</si>
  <si>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</si>
  <si>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</si>
  <si>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</si>
  <si>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</si>
  <si>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</si>
  <si>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</si>
  <si>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</si>
  <si>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</si>
  <si>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</si>
  <si>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</si>
  <si>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</si>
  <si>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</si>
  <si>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</si>
  <si>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</si>
  <si>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</si>
  <si>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</si>
  <si>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</si>
  <si>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</si>
  <si>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</si>
  <si>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</si>
  <si>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</si>
  <si>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</si>
  <si>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</si>
  <si>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</si>
  <si>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</si>
  <si>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</si>
  <si>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</si>
  <si>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</si>
  <si>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</si>
  <si>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</si>
  <si>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</si>
  <si>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</si>
  <si>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</si>
  <si>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</si>
  <si>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</si>
  <si>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</si>
  <si>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</si>
  <si>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</si>
  <si>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</si>
  <si>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</si>
  <si>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</si>
  <si>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</si>
  <si>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</si>
  <si>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</si>
  <si>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</si>
  <si>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</si>
  <si>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</si>
  <si>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</si>
  <si>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</si>
  <si>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</si>
  <si>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</si>
  <si>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</si>
  <si>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</si>
  <si>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</si>
  <si>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</si>
  <si>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</si>
  <si>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</si>
  <si>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Omschrijving werkzaamheden</t>
  </si>
  <si>
    <t>frequentie per jaar</t>
  </si>
  <si>
    <t>uren per m2/ beurt</t>
  </si>
  <si>
    <t>uren per jaar</t>
  </si>
  <si>
    <t>uurtarief</t>
  </si>
  <si>
    <t>kosten per jaar</t>
  </si>
  <si>
    <t>Omschrijving kostenaspect</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</si>
  <si>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</si>
  <si>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</si>
  <si>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</si>
  <si>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</si>
  <si>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</si>
  <si>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</si>
  <si>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</si>
  <si>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</si>
  <si>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</si>
  <si>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Sprayen</t>
  </si>
  <si>
    <t>Top-coaten</t>
  </si>
  <si>
    <t>Schrobben</t>
  </si>
  <si>
    <t>Tapijtreiniging (sproei-extr.)</t>
  </si>
  <si>
    <t>Vloerafwerking</t>
  </si>
  <si>
    <t>1</t>
  </si>
  <si>
    <t>Harde vloer zonder waslaag (sanitair)</t>
  </si>
  <si>
    <t>Tapijt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</si>
  <si>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</si>
  <si>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</si>
  <si>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</si>
  <si>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</si>
  <si>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</si>
  <si>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</si>
  <si>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</si>
  <si>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</si>
  <si>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</si>
  <si>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</si>
  <si>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</si>
  <si>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</si>
  <si>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</si>
  <si>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</si>
  <si>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</si>
  <si>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</si>
  <si>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</si>
  <si>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Tapijtreiniging (kristalliseren)</t>
  </si>
  <si>
    <t>Vloercategorie</t>
  </si>
  <si>
    <t>Harde vloer zonder waslaag (overig)</t>
  </si>
  <si>
    <t>Zachte vloer</t>
  </si>
  <si>
    <t>PVC</t>
  </si>
  <si>
    <t>De Delta Kreekrijklaan</t>
  </si>
  <si>
    <t>De Delta Beemdgras</t>
  </si>
  <si>
    <t>De Dorpsakker</t>
  </si>
  <si>
    <t>Dynamica Noordsterweg</t>
  </si>
  <si>
    <t>Dynamica (Molenwerf)</t>
  </si>
  <si>
    <t>Dynamica (Nieuwendamstraat)</t>
  </si>
  <si>
    <t>Het Eiland</t>
  </si>
  <si>
    <t>De Jagersplas</t>
  </si>
  <si>
    <t>De Komeet bovenbouw</t>
  </si>
  <si>
    <t>De Komeet onderbouw</t>
  </si>
  <si>
    <t>De Kroosduiker</t>
  </si>
  <si>
    <t>De Mei</t>
  </si>
  <si>
    <t>De Overhaal</t>
  </si>
  <si>
    <t>De Pionier</t>
  </si>
  <si>
    <t>Theo Thijssen</t>
  </si>
  <si>
    <t>De Watermolen</t>
  </si>
  <si>
    <t>De Zoeker</t>
  </si>
  <si>
    <t>0.1</t>
  </si>
  <si>
    <t>0.2</t>
  </si>
  <si>
    <t>0.3</t>
  </si>
  <si>
    <t>0.4</t>
  </si>
  <si>
    <t>0.6</t>
  </si>
  <si>
    <t>0.7</t>
  </si>
  <si>
    <t>0.8</t>
  </si>
  <si>
    <t>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</si>
  <si>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</si>
  <si>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</si>
  <si>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</si>
  <si>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</si>
  <si>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</si>
  <si>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</si>
  <si>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</si>
  <si>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</si>
  <si>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</si>
  <si>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</si>
  <si>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</si>
  <si>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</si>
  <si>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</si>
  <si>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</si>
  <si>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</si>
  <si>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</si>
  <si>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</si>
  <si>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</si>
  <si>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</si>
  <si>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</si>
  <si>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</si>
  <si>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</si>
  <si>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</si>
  <si>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</si>
  <si>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</si>
  <si>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</si>
  <si>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</si>
  <si>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</si>
  <si>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</si>
  <si>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</si>
  <si>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</si>
  <si>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</si>
  <si>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</si>
  <si>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</si>
  <si>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</si>
  <si>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</si>
  <si>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</si>
  <si>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0.5</t>
  </si>
  <si>
    <t>2.1</t>
  </si>
  <si>
    <t>2.2</t>
  </si>
  <si>
    <t>2.3</t>
  </si>
  <si>
    <t>2.4</t>
  </si>
  <si>
    <t>2.5</t>
  </si>
  <si>
    <t>2.6</t>
  </si>
  <si>
    <t>2.7</t>
  </si>
  <si>
    <t>2.8</t>
  </si>
  <si>
    <t>2.9</t>
  </si>
  <si>
    <t>2.10</t>
  </si>
  <si>
    <t>2.11</t>
  </si>
  <si>
    <t>2.12</t>
  </si>
  <si>
    <t>2.13</t>
  </si>
  <si>
    <t>2.14</t>
  </si>
  <si>
    <t>2.15</t>
  </si>
  <si>
    <t>2.16</t>
  </si>
  <si>
    <t>2.17</t>
  </si>
  <si>
    <t>2.18</t>
  </si>
  <si>
    <t>2.19</t>
  </si>
  <si>
    <t>2.20</t>
  </si>
  <si>
    <t>2.21</t>
  </si>
  <si>
    <t>2.22</t>
  </si>
  <si>
    <t>0.35a</t>
  </si>
  <si>
    <t>0.35b</t>
  </si>
  <si>
    <t>0,36a</t>
  </si>
  <si>
    <t>0,37a</t>
  </si>
  <si>
    <t>0.47</t>
  </si>
  <si>
    <t>0.48</t>
  </si>
  <si>
    <t>0.49</t>
  </si>
  <si>
    <t>0.50</t>
  </si>
  <si>
    <t>0.51</t>
  </si>
  <si>
    <t>0.52</t>
  </si>
  <si>
    <t>0.54</t>
  </si>
  <si>
    <t>0.55</t>
  </si>
  <si>
    <t>0.56</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</si>
  <si>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</si>
  <si>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</si>
  <si>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</si>
  <si>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</si>
  <si>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</si>
  <si>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</si>
  <si>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</si>
  <si>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</si>
  <si>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</si>
  <si>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</si>
  <si>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</si>
  <si>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</si>
  <si>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</si>
  <si>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</si>
  <si>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</si>
  <si>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</si>
  <si>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</si>
  <si>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</si>
  <si>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</si>
  <si>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</si>
  <si>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</si>
  <si>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</si>
  <si>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</si>
  <si>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</si>
  <si>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</si>
  <si>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</si>
  <si>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</si>
  <si>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1.40</t>
  </si>
  <si>
    <t>0.9A</t>
  </si>
  <si>
    <t>0.9B</t>
  </si>
  <si>
    <t>0.20A</t>
  </si>
  <si>
    <t>0.20B</t>
  </si>
  <si>
    <t>0.22A</t>
  </si>
  <si>
    <t>0.22B</t>
  </si>
  <si>
    <t>Bijgebouw 0.1</t>
  </si>
  <si>
    <t>Bijgebouw 0.2</t>
  </si>
  <si>
    <t>Bijgebouw 0.3</t>
  </si>
  <si>
    <t>Bijgebouw 0.4</t>
  </si>
  <si>
    <t>Bijgebouw 0.5</t>
  </si>
  <si>
    <t>Bijgebouw 0.6</t>
  </si>
  <si>
    <t>Bijgebouw 0.7</t>
  </si>
  <si>
    <t>Bijgebouw 0.8</t>
  </si>
  <si>
    <t>Bijgebouw 0.9</t>
  </si>
  <si>
    <t>Bijgebouw 0.10</t>
  </si>
  <si>
    <t>Bijgebouw 0.11</t>
  </si>
  <si>
    <t>B0.01</t>
  </si>
  <si>
    <t>B0.02</t>
  </si>
  <si>
    <t>B0.03</t>
  </si>
  <si>
    <t>B0.04</t>
  </si>
  <si>
    <t>B0.05</t>
  </si>
  <si>
    <t>B0.06</t>
  </si>
  <si>
    <t>B0.07</t>
  </si>
  <si>
    <t>B0.09</t>
  </si>
  <si>
    <t>B0.11</t>
  </si>
  <si>
    <t>B0.12</t>
  </si>
  <si>
    <t>B0.13</t>
  </si>
  <si>
    <t>B0.14</t>
  </si>
  <si>
    <t>B0.15</t>
  </si>
  <si>
    <t>B0.16</t>
  </si>
  <si>
    <t>B0.17</t>
  </si>
  <si>
    <t>B0.18</t>
  </si>
  <si>
    <t>B0.19</t>
  </si>
  <si>
    <t>B0.20a</t>
  </si>
  <si>
    <t>B0.20b</t>
  </si>
  <si>
    <t>B0.21</t>
  </si>
  <si>
    <t>B0.22a</t>
  </si>
  <si>
    <t>B0.22b</t>
  </si>
  <si>
    <t>B0.23</t>
  </si>
  <si>
    <t>B0.24</t>
  </si>
  <si>
    <t>B0.25</t>
  </si>
  <si>
    <t>B0.26</t>
  </si>
  <si>
    <t>B0.27a</t>
  </si>
  <si>
    <t>B0.27b</t>
  </si>
  <si>
    <t>B0.28</t>
  </si>
  <si>
    <t>B0.29</t>
  </si>
  <si>
    <t>B0.30</t>
  </si>
  <si>
    <t>B0.31</t>
  </si>
  <si>
    <t>B0.32</t>
  </si>
  <si>
    <t>B0.33</t>
  </si>
  <si>
    <t>B0.34a</t>
  </si>
  <si>
    <t>B0.34b</t>
  </si>
  <si>
    <t>B0.35</t>
  </si>
  <si>
    <t>B0.36</t>
  </si>
  <si>
    <t>B0.37</t>
  </si>
  <si>
    <t>B0.38</t>
  </si>
  <si>
    <t>B0.39</t>
  </si>
  <si>
    <t>B0.40</t>
  </si>
  <si>
    <t>B0.52</t>
  </si>
  <si>
    <t>V1.01</t>
  </si>
  <si>
    <t>V1.02</t>
  </si>
  <si>
    <t>V1.03</t>
  </si>
  <si>
    <t>V1.04</t>
  </si>
  <si>
    <t>V1.05</t>
  </si>
  <si>
    <t>V1.06</t>
  </si>
  <si>
    <t>V1.07a</t>
  </si>
  <si>
    <t>V1.07b</t>
  </si>
  <si>
    <t>V1.08</t>
  </si>
  <si>
    <t>V1.09</t>
  </si>
  <si>
    <t>V1.10</t>
  </si>
  <si>
    <t>V1.11</t>
  </si>
  <si>
    <t>V1.12</t>
  </si>
  <si>
    <t>V1.13</t>
  </si>
  <si>
    <t>V1.14</t>
  </si>
  <si>
    <t>V1.15</t>
  </si>
  <si>
    <t>V1.16</t>
  </si>
  <si>
    <t>V1.17</t>
  </si>
  <si>
    <t>V1.18</t>
  </si>
  <si>
    <t>V1.19a</t>
  </si>
  <si>
    <t>V1.19b</t>
  </si>
  <si>
    <t>V1.20</t>
  </si>
  <si>
    <t>V1.21a</t>
  </si>
  <si>
    <t>V1.21b</t>
  </si>
  <si>
    <t>V1.22</t>
  </si>
  <si>
    <t>V1.23</t>
  </si>
  <si>
    <t>V1.24</t>
  </si>
  <si>
    <t>V1.25</t>
  </si>
  <si>
    <t>V1.26</t>
  </si>
  <si>
    <t>V1.27</t>
  </si>
  <si>
    <t>V1.28</t>
  </si>
  <si>
    <t>V1.29a</t>
  </si>
  <si>
    <t>V1.29b</t>
  </si>
  <si>
    <t>V1.30</t>
  </si>
  <si>
    <t>V1.31</t>
  </si>
  <si>
    <t>V1.32</t>
  </si>
  <si>
    <t>V1.33</t>
  </si>
  <si>
    <t>V1.34</t>
  </si>
  <si>
    <t>V1.35</t>
  </si>
  <si>
    <t>V1.36</t>
  </si>
  <si>
    <t>V1.37</t>
  </si>
  <si>
    <t>V1.38</t>
  </si>
  <si>
    <t>V1.39</t>
  </si>
  <si>
    <t>V1.40</t>
  </si>
  <si>
    <t>V1.41</t>
  </si>
  <si>
    <t>V1.42</t>
  </si>
  <si>
    <t>V1.43-1.50</t>
  </si>
  <si>
    <t>V1.51</t>
  </si>
  <si>
    <t>V1.52</t>
  </si>
  <si>
    <t>V1.53</t>
  </si>
  <si>
    <t>V1.54</t>
  </si>
  <si>
    <t>V1.55</t>
  </si>
  <si>
    <t>V1.56</t>
  </si>
  <si>
    <t>V1.57</t>
  </si>
  <si>
    <t>1.1</t>
  </si>
  <si>
    <t>1.2</t>
  </si>
  <si>
    <t>1.3</t>
  </si>
  <si>
    <t>1.4</t>
  </si>
  <si>
    <t>1.5</t>
  </si>
  <si>
    <t>1.6</t>
  </si>
  <si>
    <t>1.7</t>
  </si>
  <si>
    <t>1.8</t>
  </si>
  <si>
    <t>1.9</t>
  </si>
  <si>
    <t>0.4.1</t>
  </si>
  <si>
    <t>0.4.2</t>
  </si>
  <si>
    <t>0.5.1</t>
  </si>
  <si>
    <t>0.5.2</t>
  </si>
  <si>
    <t>0.5.3</t>
  </si>
  <si>
    <t>0.6.1</t>
  </si>
  <si>
    <t>0.6.2</t>
  </si>
  <si>
    <t>0.8.1</t>
  </si>
  <si>
    <t>0.8.2</t>
  </si>
  <si>
    <t>0.8.3</t>
  </si>
  <si>
    <t>0.10.1</t>
  </si>
  <si>
    <t>0.10.2</t>
  </si>
  <si>
    <t>0.10.3</t>
  </si>
  <si>
    <t>0.12.1</t>
  </si>
  <si>
    <t>0.12.2</t>
  </si>
  <si>
    <t>0.12.3</t>
  </si>
  <si>
    <t>0.12.4</t>
  </si>
  <si>
    <t>0.13.1</t>
  </si>
  <si>
    <t>0.13.2</t>
  </si>
  <si>
    <t>0.16.1</t>
  </si>
  <si>
    <t>0.16.2</t>
  </si>
  <si>
    <t>0.17.1</t>
  </si>
  <si>
    <t>0.18.1</t>
  </si>
  <si>
    <t>0.18.2</t>
  </si>
  <si>
    <t>0.29.1</t>
  </si>
  <si>
    <t>0.29.2</t>
  </si>
  <si>
    <t>0.29.3</t>
  </si>
  <si>
    <t>0.33.1</t>
  </si>
  <si>
    <t>0.33.2</t>
  </si>
  <si>
    <t>0.33.3</t>
  </si>
  <si>
    <t>1.5.1</t>
  </si>
  <si>
    <t>1.5.2</t>
  </si>
  <si>
    <t>1.8.1</t>
  </si>
  <si>
    <t>1.8.2</t>
  </si>
  <si>
    <t>1.8.3</t>
  </si>
  <si>
    <t>1.11.1</t>
  </si>
  <si>
    <t>1.11.2</t>
  </si>
  <si>
    <t>1.13.1</t>
  </si>
  <si>
    <t>1.13.2</t>
  </si>
  <si>
    <t>1.22.1</t>
  </si>
  <si>
    <t>1.23.1</t>
  </si>
  <si>
    <t>1.01</t>
  </si>
  <si>
    <t>0.12A</t>
  </si>
  <si>
    <t>0.12B</t>
  </si>
  <si>
    <t>0.16A</t>
  </si>
  <si>
    <t>0.18A</t>
  </si>
  <si>
    <t>0.18B</t>
  </si>
  <si>
    <t>0.18C</t>
  </si>
  <si>
    <t>0.38A</t>
  </si>
  <si>
    <t xml:space="preserve">0.5 </t>
  </si>
  <si>
    <t>0.25A</t>
  </si>
  <si>
    <t>0.25B</t>
  </si>
  <si>
    <t>0.27-0.28</t>
  </si>
  <si>
    <t>1.02</t>
  </si>
  <si>
    <t>1.11a</t>
  </si>
  <si>
    <t>1.11b</t>
  </si>
  <si>
    <t>0.53</t>
  </si>
  <si>
    <t>0.57</t>
  </si>
  <si>
    <t>0.58</t>
  </si>
  <si>
    <t>0.59</t>
  </si>
  <si>
    <t>Gang</t>
  </si>
  <si>
    <t>Speelzaal</t>
  </si>
  <si>
    <t>Toilet</t>
  </si>
  <si>
    <t>Lokaal</t>
  </si>
  <si>
    <t>Kantoor</t>
  </si>
  <si>
    <t>Docentenruimte</t>
  </si>
  <si>
    <t>Berging</t>
  </si>
  <si>
    <t>Pantry</t>
  </si>
  <si>
    <t>Aula</t>
  </si>
  <si>
    <t>Personeelsruimte</t>
  </si>
  <si>
    <t>Werkkast</t>
  </si>
  <si>
    <t>Technische Ruimte</t>
  </si>
  <si>
    <t>Leerplein</t>
  </si>
  <si>
    <t>Entreehal</t>
  </si>
  <si>
    <t>Pantry/Repro</t>
  </si>
  <si>
    <t>Meterkast</t>
  </si>
  <si>
    <t>Schacht</t>
  </si>
  <si>
    <t>Balkon</t>
  </si>
  <si>
    <t>Koffiecorner</t>
  </si>
  <si>
    <t>Patchkast</t>
  </si>
  <si>
    <t>Containerruimte</t>
  </si>
  <si>
    <t>Heren Toilet</t>
  </si>
  <si>
    <t>Dames Toilet</t>
  </si>
  <si>
    <t>Copyruimte</t>
  </si>
  <si>
    <t>Garderobe</t>
  </si>
  <si>
    <t>Personeelstoilet</t>
  </si>
  <si>
    <t>Buitenberging</t>
  </si>
  <si>
    <t>Miva Toilet</t>
  </si>
  <si>
    <t>Werkruimte</t>
  </si>
  <si>
    <t>Nooduitgang Entree</t>
  </si>
  <si>
    <t>Lokaal 1 (Links)</t>
  </si>
  <si>
    <t>Lokaal 2 (Links)</t>
  </si>
  <si>
    <t>Lokaal 3 (Links)</t>
  </si>
  <si>
    <t xml:space="preserve">Lokaal 4 (Rechts) </t>
  </si>
  <si>
    <t xml:space="preserve">Entree (Rechts) </t>
  </si>
  <si>
    <t>Sanitair (Rechts)</t>
  </si>
  <si>
    <t>Kantoor Concierge</t>
  </si>
  <si>
    <t>Repro</t>
  </si>
  <si>
    <t>Multifunctionele Ruimte</t>
  </si>
  <si>
    <t>Kooklokaal</t>
  </si>
  <si>
    <t>Snoezelruimte</t>
  </si>
  <si>
    <t>Coupé</t>
  </si>
  <si>
    <t>Time Out</t>
  </si>
  <si>
    <t>Mediatheek</t>
  </si>
  <si>
    <t>Buiten Trap</t>
  </si>
  <si>
    <t>Koffieruimte</t>
  </si>
  <si>
    <t>Vergaderruimte</t>
  </si>
  <si>
    <t>Serverruimte</t>
  </si>
  <si>
    <t>Therapie Ruimte</t>
  </si>
  <si>
    <t>Miva-Toilet</t>
  </si>
  <si>
    <t>Kast</t>
  </si>
  <si>
    <t>Nooduitgang</t>
  </si>
  <si>
    <t>Galerij</t>
  </si>
  <si>
    <t>Kleine Oefenruimte</t>
  </si>
  <si>
    <t>Trap</t>
  </si>
  <si>
    <t>Pantry/Gang</t>
  </si>
  <si>
    <t>Receptie</t>
  </si>
  <si>
    <t>Cv Ruimte</t>
  </si>
  <si>
    <t>Gemeenschapsruimte</t>
  </si>
  <si>
    <t>Magazijn Keuken</t>
  </si>
  <si>
    <t>Wasruimte</t>
  </si>
  <si>
    <t>Liftschacht</t>
  </si>
  <si>
    <t>Bibliotheek</t>
  </si>
  <si>
    <t>Directiekantoor</t>
  </si>
  <si>
    <t>Spreekkamer</t>
  </si>
  <si>
    <t>Keuken</t>
  </si>
  <si>
    <t>Hal</t>
  </si>
  <si>
    <t>Slaapkamer</t>
  </si>
  <si>
    <t>Administratie</t>
  </si>
  <si>
    <t>Toneel</t>
  </si>
  <si>
    <t>Patio</t>
  </si>
  <si>
    <t>Speelzaalberging</t>
  </si>
  <si>
    <t>Atelier</t>
  </si>
  <si>
    <t>Kopieerruimte/Opslag</t>
  </si>
  <si>
    <t>Computerruimte</t>
  </si>
  <si>
    <t>Werkplein</t>
  </si>
  <si>
    <t>Berging Speelzaal</t>
  </si>
  <si>
    <t>Teamkamer</t>
  </si>
  <si>
    <t xml:space="preserve">Berging </t>
  </si>
  <si>
    <t>Patchruimte</t>
  </si>
  <si>
    <t>Keuken/Bibliotheek</t>
  </si>
  <si>
    <t>Computerhoek</t>
  </si>
  <si>
    <t>Werk Aula</t>
  </si>
  <si>
    <t>Podium</t>
  </si>
  <si>
    <t>Multi-Ruimte</t>
  </si>
  <si>
    <t>Entreemat</t>
  </si>
  <si>
    <t>Tegel</t>
  </si>
  <si>
    <t>Sportvloer</t>
  </si>
  <si>
    <t>Linoleum+Entreemat</t>
  </si>
  <si>
    <t>Gietvloer</t>
  </si>
  <si>
    <t>Pvc</t>
  </si>
  <si>
    <t>linoleum</t>
  </si>
  <si>
    <t>beton</t>
  </si>
  <si>
    <t>Hout</t>
  </si>
  <si>
    <t>Beton (Gecoat)</t>
  </si>
  <si>
    <t>N.V.T.</t>
  </si>
  <si>
    <t xml:space="preserve">Linoleum </t>
  </si>
  <si>
    <t>Leslokalen</t>
  </si>
  <si>
    <t>Kleed/wasruimte</t>
  </si>
  <si>
    <t>Zaan Primair</t>
  </si>
  <si>
    <t>Divers</t>
  </si>
  <si>
    <t>Beemdgras 3, 1567 MM Assendelft</t>
  </si>
  <si>
    <t>Kreekrijklaan 4, 1567 LP Assendelft</t>
  </si>
  <si>
    <t>0.12C</t>
  </si>
  <si>
    <t>Brandakkerstraat 4, 1566 XD Assendelft</t>
  </si>
  <si>
    <t>Noordsterweg 2, 1521 JS Wormerveer</t>
  </si>
  <si>
    <t>Nieuwendamstraat 2a, 1507 JE Zaandam</t>
  </si>
  <si>
    <t>Brasemermeer 23 b, 1509 GE Zaandam</t>
  </si>
  <si>
    <t>Braillestraat 2, 1561 JP Krommenie</t>
  </si>
  <si>
    <t>Jupiterstraat 141, 1562 WP Krommenie</t>
  </si>
  <si>
    <t>Neptunuslaan 1, 1562 XT Krommenie</t>
  </si>
  <si>
    <t>Torenstraat 5, 1551 BK Westzaan</t>
  </si>
  <si>
    <t>Voltastraat 15a, 1521 TL Wormerveer</t>
  </si>
  <si>
    <t>Krommeniedijk 13, 1562 GH Krommenie</t>
  </si>
  <si>
    <t>Kerkstraat 52, 1521 JP Wormerveer</t>
  </si>
  <si>
    <t>Piet Kuijperlaan 3, 1525 PL W Knollendam</t>
  </si>
  <si>
    <t>Fortuinweg 12, 1544 VX Zaandijk</t>
  </si>
  <si>
    <t>nio</t>
  </si>
  <si>
    <t>Niet in onderhoud</t>
  </si>
  <si>
    <t>eigen dienst</t>
  </si>
  <si>
    <t>Vloeronderhoud (incl. middelen en materialen)</t>
  </si>
  <si>
    <t>Handeling (exclusief uit- en inruimen)</t>
  </si>
  <si>
    <t>1 t/m 50 m²</t>
  </si>
  <si>
    <t>51 t/m 500 m²</t>
  </si>
  <si>
    <t>&gt; 500 m²</t>
  </si>
  <si>
    <t>PU-laag aanbrengen (inclusief strippen vloeren)</t>
  </si>
  <si>
    <t>Schoonloopmat</t>
  </si>
  <si>
    <t>Sproei-extraheren ter plekke</t>
  </si>
  <si>
    <t>Sproei-extraheren</t>
  </si>
  <si>
    <t>Tegels/DHGT</t>
  </si>
  <si>
    <t>Schrobzuigen</t>
  </si>
  <si>
    <t>Extra onderhoud (incl. middelen en materialen)</t>
  </si>
  <si>
    <t>51 t/m 100 m²</t>
  </si>
  <si>
    <t>&gt; 100 m²</t>
  </si>
  <si>
    <t>&gt; 1000 m²</t>
  </si>
  <si>
    <t>Buitenterrein (o.a. fietsenstalling en pleinen rondom gebouw)</t>
  </si>
  <si>
    <t>Vegen</t>
  </si>
  <si>
    <t>Opleveringsschoonmaak glas</t>
  </si>
  <si>
    <t>Inclusief schoonmaak van omlijsting/kozijnen en verwijderen van stickers etc.</t>
  </si>
  <si>
    <t>Opleveringsschoonmaak keuken</t>
  </si>
  <si>
    <t>Inclusief verwijderen cementsluier van wanden en harde vloeren</t>
  </si>
  <si>
    <t>Opleveringsschoonmaak overige ruimten (b.v. kantoren, vergaderruimten, etc.)</t>
  </si>
  <si>
    <t>Opleveringsschoonmaak sanitair</t>
  </si>
  <si>
    <t>Opleveringsschoonmaak verkeersruimten</t>
  </si>
  <si>
    <t>Exclusief aanbrengen beschermlaag op vloerbedekking</t>
  </si>
  <si>
    <t xml:space="preserve">Reinigen vaste elementen (b.v. kastjes, aanrechtblad, wasbak, kranen, wanden en vloeren) van een pantry en binnenzijde kastjes  </t>
  </si>
  <si>
    <t>Dakbedekking (plat)</t>
  </si>
  <si>
    <t>Blad verwijderen</t>
  </si>
  <si>
    <t>Glasbewassing</t>
  </si>
  <si>
    <t>Reinigen gevelglas binnen en buitenzijde</t>
  </si>
  <si>
    <t>Reinigen separatieglas</t>
  </si>
  <si>
    <t>Gevelbeplating</t>
  </si>
  <si>
    <t>Hogedruk reinigen</t>
  </si>
  <si>
    <t>1 t/m  5 stuks</t>
  </si>
  <si>
    <t>6 t/m 15 stuks</t>
  </si>
  <si>
    <t>&gt; 15 stuks</t>
  </si>
  <si>
    <t>Luchtroosters</t>
  </si>
  <si>
    <t>Uitwendig stof- en vlekvrij maken</t>
  </si>
  <si>
    <t>Stoelen</t>
  </si>
  <si>
    <t xml:space="preserve">Stoffering reinigen d.m.v. sproei extractie </t>
  </si>
  <si>
    <t>Specifiek extra onderhoud</t>
  </si>
  <si>
    <t>Uurtarief</t>
  </si>
  <si>
    <t>Servicewerkzaamheden</t>
  </si>
  <si>
    <t>Verrichten van hand- en spandiensten zoals in- en uitruimen ruimten (exclusief overwerktoeslagen)</t>
  </si>
  <si>
    <t>Huishoudelijke werkzaamheden</t>
  </si>
  <si>
    <t>Werkzaamheden rondom de verzorging van linnen bijv. het verdelen van linnen over de afdelingen, tellen van de voorraad, transporteren van linnenkarren</t>
  </si>
  <si>
    <t>Logistieke werkzaamheden</t>
  </si>
  <si>
    <t>Verzamelen van materialen van afdelingen, intern transport, inzameling afval, kleine verhuizingen, afhalen en ophangen van gordijnen voor de was</t>
  </si>
  <si>
    <t xml:space="preserve">Hier dienen de tarieven exclusief BTW te worden ingevuld. Opdrachtgever behoudt zich het recht voor om extra werkzaamheden bij derden te beleggen. </t>
  </si>
  <si>
    <t>b.t.w.</t>
  </si>
  <si>
    <t>Totale kosten per jaar inclusief b.t.w.</t>
  </si>
  <si>
    <t>Centrale Ruimte-Aula</t>
  </si>
  <si>
    <t>Verwerkingsruimte</t>
  </si>
  <si>
    <t>Logopedie</t>
  </si>
  <si>
    <t>Entree/Gang</t>
  </si>
  <si>
    <t>Concierge/Balie</t>
  </si>
  <si>
    <t>Grootverbruikstation</t>
  </si>
  <si>
    <t>Zorgcoordinator</t>
  </si>
  <si>
    <t>Opslag</t>
  </si>
  <si>
    <t>Coordinatoren</t>
  </si>
  <si>
    <t>Management</t>
  </si>
  <si>
    <t>Groepsruimte</t>
  </si>
  <si>
    <t>Gang/Entree</t>
  </si>
  <si>
    <t>0.4a</t>
  </si>
  <si>
    <t>0.4b</t>
  </si>
  <si>
    <t>0.17A</t>
  </si>
  <si>
    <t>0.17B</t>
  </si>
  <si>
    <t>0.19/0.22</t>
  </si>
  <si>
    <t>1.02A</t>
  </si>
  <si>
    <t>1.02B</t>
  </si>
  <si>
    <t>Kleutertoilet</t>
  </si>
  <si>
    <t>Fietsenberging</t>
  </si>
  <si>
    <t>Staal</t>
  </si>
  <si>
    <t>PU-coating</t>
  </si>
  <si>
    <t>Harde vloeren zonder waslaag</t>
  </si>
  <si>
    <t>Zachte vloeren</t>
  </si>
  <si>
    <t>Totaal m2 in scope</t>
  </si>
  <si>
    <t>5 x per week (40 weken)</t>
  </si>
  <si>
    <t>4</t>
  </si>
  <si>
    <t>L</t>
  </si>
  <si>
    <t>Dynamica (Braillestraat)</t>
  </si>
  <si>
    <t>begane grond</t>
  </si>
  <si>
    <t>1e verdieping</t>
  </si>
  <si>
    <t>Molenwerf 1C, 1541 WR Koog aan de Zaan</t>
  </si>
  <si>
    <t>Molenwerf 3, 1541 WR Koog aan de Zaan</t>
  </si>
  <si>
    <t>P.A. van Meverstraat 1, 1507 XE Zaandam</t>
  </si>
  <si>
    <t>IB Ruimte (Kantoor)</t>
  </si>
  <si>
    <t>Perceel</t>
  </si>
  <si>
    <t>Noord</t>
  </si>
  <si>
    <t>Aanbesteding SMO 14082026</t>
  </si>
  <si>
    <r>
      <t>Handeling</t>
    </r>
    <r>
      <rPr>
        <b/>
        <sz val="10"/>
        <color theme="0"/>
        <rFont val="Georgia"/>
        <family val="1"/>
      </rPr>
      <t>¹</t>
    </r>
  </si>
  <si>
    <t>¹ Zie omschrijving definities in het Programma van Eisen</t>
  </si>
  <si>
    <t>Re-coaten (zie definitie in het Programma van Eisen)</t>
  </si>
  <si>
    <t>M² prijs (incl. uit- en inruimen)</t>
  </si>
  <si>
    <t>De m² voor sprayen zijn gebaseerd op de ruimtecategorieën: aula, gang, hal en entree</t>
  </si>
  <si>
    <t>Reinigen vaste elementen (b.v. wanden, vloeren, lijnroosters, vensterbanken, binnenzijde glas, lamellen, radiatoren). Exclusief aanbrengen beschermlaag op vloerbedekking</t>
  </si>
  <si>
    <t>Maandag - Vrijdag incl. toezicht</t>
  </si>
  <si>
    <t>Zomerschoonmaak: meubilair, dieptereiniging sanitair, periodieken</t>
  </si>
  <si>
    <t>Overige cao-gerelateerde verplichtingen (zoals reiskosten)</t>
  </si>
  <si>
    <t>Overige cao-gerelateerde verplichtingen</t>
  </si>
  <si>
    <t>Kosten productie per jaar ma t/m vr incl. minimale taakgrootte</t>
  </si>
  <si>
    <t>Perceel 1 (Noordelijk gebied)</t>
  </si>
  <si>
    <t>Uurlonen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</si>
</sst>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413]d\-mmm\-yy;@"/>
    <numFmt numFmtId="196" formatCode="_ [$€-2]\ * #,##0.00_ ;_ [$€-2]\ * \-#,##0.00_ ;_ [$€-2]\ * &quot;-&quot;??_ ;_ @_ "/>
  </numFmts>
  <fonts count="15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
      <sz val="12"/>
      <name val="Tms Rmn"/>
    </font>
    <font>
      <b/>
      <sz val="14"/>
      <name val="Arial"/>
      <family val="2"/>
    </font>
    <font>
      <sz val="10"/>
      <color rgb="FFFF0000"/>
      <name val="Arial"/>
      <family val="2"/>
    </font>
    <font>
      <sz val="10"/>
      <color rgb="FF000000"/>
      <name val="Arial"/>
      <family val="2"/>
    </font>
    <font>
      <b/>
      <sz val="10"/>
      <color indexed="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top/>
      <bottom/>
      <diagonal/>
    </border>
  </borders>
  <cellStyleXfs count="52892">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2"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9"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0" fillId="0" borderId="0"/>
    <xf numFmtId="0" fontId="30"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2"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3" fillId="0" borderId="0"/>
    <xf numFmtId="0" fontId="8" fillId="0" borderId="0"/>
    <xf numFmtId="0" fontId="2" fillId="0" borderId="0"/>
    <xf numFmtId="0" fontId="4" fillId="0" borderId="0"/>
    <xf numFmtId="0" fontId="34" fillId="0" borderId="0"/>
    <xf numFmtId="0" fontId="34" fillId="0" borderId="0"/>
    <xf numFmtId="0" fontId="4" fillId="0" borderId="0"/>
    <xf numFmtId="0" fontId="4" fillId="0" borderId="0"/>
    <xf numFmtId="0" fontId="34" fillId="0" borderId="0"/>
    <xf numFmtId="0" fontId="34" fillId="0" borderId="0"/>
    <xf numFmtId="0" fontId="8" fillId="0" borderId="0"/>
    <xf numFmtId="0" fontId="4" fillId="0" borderId="0"/>
    <xf numFmtId="0" fontId="13"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8"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4"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4"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4" fillId="0" borderId="0"/>
    <xf numFmtId="190" fontId="8" fillId="0" borderId="0" applyFont="0" applyFill="0" applyBorder="0" applyAlignment="0" applyProtection="0"/>
    <xf numFmtId="170" fontId="4"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1"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2" fillId="0" borderId="0"/>
    <xf numFmtId="0" fontId="8" fillId="0" borderId="0"/>
    <xf numFmtId="0" fontId="4" fillId="0" borderId="0"/>
    <xf numFmtId="0" fontId="8" fillId="0" borderId="0"/>
    <xf numFmtId="0" fontId="63"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4" fillId="0" borderId="0" applyFont="0" applyFill="0" applyBorder="0" applyAlignment="0" applyProtection="0"/>
    <xf numFmtId="166" fontId="8" fillId="0" borderId="0" applyFont="0" applyFill="0" applyBorder="0" applyAlignment="0" applyProtection="0"/>
    <xf numFmtId="194" fontId="8" fillId="0" borderId="0" applyFont="0" applyFill="0" applyBorder="0" applyAlignment="0" applyProtection="0"/>
    <xf numFmtId="0" fontId="1" fillId="0" borderId="0"/>
    <xf numFmtId="0" fontId="6" fillId="0" borderId="0"/>
    <xf numFmtId="0" fontId="8" fillId="0" borderId="0" applyBorder="0" applyProtection="0"/>
    <xf numFmtId="0" fontId="145" fillId="0" borderId="0"/>
    <xf numFmtId="0" fontId="8" fillId="0" borderId="0"/>
    <xf numFmtId="44" fontId="145" fillId="0" borderId="0" applyFont="0" applyFill="0" applyBorder="0" applyAlignment="0" applyProtection="0"/>
    <xf numFmtId="0" fontId="148" fillId="0" borderId="0">
      <alignment vertical="center"/>
    </xf>
  </cellStyleXfs>
  <cellXfs count="51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5" fontId="71"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9"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3"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3" applyFont="1" applyAlignment="1">
      <alignment horizontal="center" vertical="center"/>
    </xf>
    <xf numFmtId="174" fontId="65" fillId="0" borderId="0" xfId="83" applyNumberFormat="1" applyFont="1" applyAlignment="1">
      <alignment horizontal="center" vertical="center"/>
    </xf>
    <xf numFmtId="0" fontId="65" fillId="0" borderId="0" xfId="102" applyFont="1"/>
    <xf numFmtId="0" fontId="70" fillId="0" borderId="0" xfId="102"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3" applyFont="1" applyAlignment="1">
      <alignment wrapText="1"/>
    </xf>
    <xf numFmtId="0" fontId="74" fillId="0" borderId="0" xfId="83" applyFont="1"/>
    <xf numFmtId="0" fontId="75" fillId="0" borderId="0" xfId="0" applyFont="1"/>
    <xf numFmtId="2" fontId="76" fillId="0" borderId="0" xfId="12" applyNumberFormat="1" applyFont="1"/>
    <xf numFmtId="2" fontId="77" fillId="2" borderId="0" xfId="12" applyNumberFormat="1" applyFont="1" applyFill="1"/>
    <xf numFmtId="0" fontId="79" fillId="0" borderId="0" xfId="88" applyFont="1"/>
    <xf numFmtId="167" fontId="79" fillId="0" borderId="0" xfId="8" applyFont="1"/>
    <xf numFmtId="173" fontId="81" fillId="0" borderId="0" xfId="8" applyNumberFormat="1" applyFont="1" applyAlignment="1">
      <alignment horizontal="center"/>
    </xf>
    <xf numFmtId="167" fontId="79" fillId="0" borderId="34" xfId="8" applyFont="1" applyBorder="1"/>
    <xf numFmtId="49" fontId="83" fillId="0" borderId="0" xfId="62" applyNumberFormat="1" applyFont="1"/>
    <xf numFmtId="0" fontId="83" fillId="0" borderId="0" xfId="62" applyFont="1"/>
    <xf numFmtId="10" fontId="83" fillId="0" borderId="0" xfId="62" applyNumberFormat="1" applyFont="1" applyAlignment="1">
      <alignment horizontal="left"/>
    </xf>
    <xf numFmtId="2" fontId="77" fillId="0" borderId="0" xfId="12" applyNumberFormat="1" applyFont="1"/>
    <xf numFmtId="187" fontId="84" fillId="0" borderId="0" xfId="62" applyNumberFormat="1" applyFont="1" applyAlignment="1">
      <alignment horizontal="left"/>
    </xf>
    <xf numFmtId="2" fontId="84" fillId="0" borderId="0" xfId="12" applyNumberFormat="1" applyFont="1"/>
    <xf numFmtId="0" fontId="83" fillId="0" borderId="0" xfId="88" applyFont="1"/>
    <xf numFmtId="167" fontId="83" fillId="0" borderId="0" xfId="8" applyFont="1"/>
    <xf numFmtId="2" fontId="81" fillId="0" borderId="0" xfId="88" applyNumberFormat="1" applyFont="1"/>
    <xf numFmtId="0" fontId="86" fillId="0" borderId="0" xfId="88" applyFont="1"/>
    <xf numFmtId="166" fontId="79" fillId="2" borderId="36" xfId="17" applyFont="1" applyFill="1" applyBorder="1" applyAlignment="1">
      <alignment horizontal="right"/>
    </xf>
    <xf numFmtId="166" fontId="79" fillId="2" borderId="36" xfId="17" applyFont="1" applyFill="1" applyBorder="1" applyAlignment="1">
      <alignment horizontal="center"/>
    </xf>
    <xf numFmtId="0" fontId="81" fillId="0" borderId="0" xfId="88"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6" applyFont="1" applyAlignment="1">
      <alignment horizontal="center"/>
    </xf>
    <xf numFmtId="2" fontId="79" fillId="0" borderId="0" xfId="8" applyNumberFormat="1" applyFont="1" applyAlignment="1">
      <alignment horizontal="left"/>
    </xf>
    <xf numFmtId="172" fontId="79" fillId="0" borderId="0" xfId="16"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6" applyFont="1"/>
    <xf numFmtId="0" fontId="89" fillId="0" borderId="0" xfId="16" applyFont="1"/>
    <xf numFmtId="0" fontId="79" fillId="0" borderId="36" xfId="0" applyFont="1" applyBorder="1"/>
    <xf numFmtId="1" fontId="79" fillId="0" borderId="36" xfId="60" applyNumberFormat="1" applyFont="1" applyBorder="1" applyAlignment="1">
      <alignment horizontal="center"/>
    </xf>
    <xf numFmtId="1" fontId="89" fillId="0" borderId="36" xfId="60"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2"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0" fontId="79" fillId="0" borderId="35" xfId="0" applyFont="1" applyBorder="1"/>
    <xf numFmtId="0" fontId="79" fillId="0" borderId="34"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0" fontId="83" fillId="0" borderId="34" xfId="0" applyFont="1" applyBorder="1"/>
    <xf numFmtId="0" fontId="79" fillId="0" borderId="2" xfId="0" applyFont="1" applyBorder="1"/>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79" fontId="95" fillId="0" borderId="0" xfId="0" applyNumberFormat="1" applyFont="1"/>
    <xf numFmtId="178" fontId="95" fillId="0" borderId="0" xfId="0" applyNumberFormat="1" applyFont="1"/>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4" fontId="96" fillId="0" borderId="0" xfId="3" applyNumberFormat="1" applyFont="1" applyFill="1" applyBorder="1" applyAlignment="1" applyProtection="1">
      <alignment horizontal="center"/>
      <protection hidden="1"/>
    </xf>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4"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4" fontId="88" fillId="0" borderId="0" xfId="0" applyNumberFormat="1" applyFont="1" applyAlignment="1">
      <alignment horizontal="center" vertical="center"/>
    </xf>
    <xf numFmtId="2" fontId="89" fillId="0" borderId="36" xfId="3" applyNumberFormat="1" applyFont="1" applyFill="1" applyBorder="1" applyAlignment="1" applyProtection="1">
      <protection hidden="1"/>
    </xf>
    <xf numFmtId="1" fontId="81" fillId="0" borderId="36" xfId="13" applyNumberFormat="1" applyFont="1" applyBorder="1" applyAlignment="1" applyProtection="1">
      <alignment horizontal="center"/>
      <protection hidden="1"/>
    </xf>
    <xf numFmtId="0" fontId="79" fillId="0" borderId="35" xfId="13" applyFont="1" applyBorder="1" applyProtection="1">
      <protection hidden="1"/>
    </xf>
    <xf numFmtId="0" fontId="104" fillId="0" borderId="34"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2" fontId="106" fillId="0" borderId="0" xfId="13" applyNumberFormat="1" applyFont="1" applyAlignment="1" applyProtection="1">
      <alignment horizontal="center"/>
      <protection hidden="1"/>
    </xf>
    <xf numFmtId="0" fontId="86" fillId="0" borderId="0" xfId="0" applyFont="1"/>
    <xf numFmtId="2" fontId="79" fillId="0" borderId="35" xfId="13" applyNumberFormat="1" applyFont="1" applyBorder="1" applyProtection="1">
      <protection hidden="1"/>
    </xf>
    <xf numFmtId="0" fontId="81" fillId="0" borderId="36" xfId="0" applyFont="1" applyBorder="1"/>
    <xf numFmtId="0" fontId="105" fillId="0" borderId="0" xfId="0" applyFont="1"/>
    <xf numFmtId="0" fontId="108" fillId="0" borderId="35" xfId="13" applyFont="1" applyBorder="1" applyProtection="1">
      <protection hidden="1"/>
    </xf>
    <xf numFmtId="0" fontId="109" fillId="0" borderId="37" xfId="13" applyFont="1" applyBorder="1" applyProtection="1">
      <protection hidden="1"/>
    </xf>
    <xf numFmtId="0" fontId="109" fillId="0" borderId="34" xfId="13" applyFont="1" applyBorder="1" applyAlignment="1" applyProtection="1">
      <alignment horizontal="right"/>
      <protection hidden="1"/>
    </xf>
    <xf numFmtId="0" fontId="89" fillId="0" borderId="33" xfId="13" applyFont="1" applyBorder="1" applyProtection="1">
      <protection hidden="1"/>
    </xf>
    <xf numFmtId="10" fontId="103" fillId="0" borderId="2" xfId="13" applyNumberFormat="1" applyFont="1" applyBorder="1" applyAlignment="1" applyProtection="1">
      <alignment horizontal="right"/>
      <protection hidden="1"/>
    </xf>
    <xf numFmtId="174" fontId="104" fillId="0" borderId="6" xfId="15" applyNumberFormat="1" applyFont="1" applyFill="1" applyBorder="1" applyAlignment="1" applyProtection="1">
      <alignment horizontal="right"/>
      <protection hidden="1"/>
    </xf>
    <xf numFmtId="0" fontId="103" fillId="0" borderId="0" xfId="0" applyFont="1"/>
    <xf numFmtId="0" fontId="103" fillId="0" borderId="5" xfId="0" applyFont="1" applyBorder="1" applyAlignment="1">
      <alignment horizontal="right"/>
    </xf>
    <xf numFmtId="0" fontId="103" fillId="0" borderId="0" xfId="0" applyFont="1" applyAlignment="1">
      <alignment horizontal="right"/>
    </xf>
    <xf numFmtId="174" fontId="86" fillId="0" borderId="0" xfId="0" applyNumberFormat="1" applyFont="1"/>
    <xf numFmtId="0" fontId="86" fillId="0" borderId="0" xfId="0" applyFont="1" applyAlignment="1">
      <alignment horizontal="right"/>
    </xf>
    <xf numFmtId="2" fontId="76" fillId="0" borderId="0" xfId="62" applyNumberFormat="1" applyFont="1"/>
    <xf numFmtId="2" fontId="77" fillId="0" borderId="0" xfId="62" applyNumberFormat="1" applyFont="1"/>
    <xf numFmtId="0" fontId="105" fillId="0" borderId="0" xfId="10" applyFont="1"/>
    <xf numFmtId="178"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0" fontId="79" fillId="0" borderId="0" xfId="10" applyFont="1"/>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3" applyFont="1"/>
    <xf numFmtId="174" fontId="110" fillId="0" borderId="0" xfId="3" applyNumberFormat="1" applyFont="1" applyFill="1" applyBorder="1" applyAlignment="1" applyProtection="1">
      <alignment horizontal="center"/>
      <protection hidden="1"/>
    </xf>
    <xf numFmtId="2" fontId="91" fillId="0" borderId="0" xfId="83"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0" fontId="79" fillId="0" borderId="0" xfId="102" applyFont="1"/>
    <xf numFmtId="0" fontId="79" fillId="0" borderId="0" xfId="102" applyFont="1" applyAlignment="1">
      <alignment horizontal="center"/>
    </xf>
    <xf numFmtId="167" fontId="79" fillId="0" borderId="0" xfId="104" applyFont="1"/>
    <xf numFmtId="173" fontId="79" fillId="0" borderId="0" xfId="8" applyNumberFormat="1" applyFont="1"/>
    <xf numFmtId="0" fontId="79" fillId="0" borderId="36" xfId="83" applyFont="1" applyBorder="1"/>
    <xf numFmtId="0" fontId="79" fillId="0" borderId="0" xfId="96" applyFont="1"/>
    <xf numFmtId="2" fontId="91" fillId="0" borderId="0" xfId="62" applyNumberFormat="1" applyFont="1"/>
    <xf numFmtId="195" fontId="111" fillId="0" borderId="0" xfId="62" applyNumberFormat="1" applyFont="1" applyAlignment="1">
      <alignment horizontal="left"/>
    </xf>
    <xf numFmtId="0" fontId="81" fillId="0" borderId="35" xfId="83" applyFont="1" applyBorder="1"/>
    <xf numFmtId="0" fontId="81" fillId="0" borderId="37" xfId="83" applyFont="1" applyBorder="1"/>
    <xf numFmtId="0" fontId="80" fillId="63" borderId="36" xfId="0" applyFont="1" applyFill="1" applyBorder="1" applyAlignment="1">
      <alignment wrapText="1"/>
    </xf>
    <xf numFmtId="0" fontId="80" fillId="63" borderId="36" xfId="0" applyFont="1" applyFill="1" applyBorder="1"/>
    <xf numFmtId="2" fontId="77" fillId="64" borderId="0" xfId="12" applyNumberFormat="1" applyFont="1" applyFill="1"/>
    <xf numFmtId="2" fontId="76" fillId="64" borderId="0" xfId="12" applyNumberFormat="1" applyFont="1" applyFill="1"/>
    <xf numFmtId="3" fontId="89" fillId="64" borderId="36" xfId="61" applyNumberFormat="1" applyFont="1" applyFill="1" applyBorder="1" applyAlignment="1" applyProtection="1">
      <alignment horizontal="left" wrapText="1"/>
      <protection hidden="1"/>
    </xf>
    <xf numFmtId="3" fontId="89" fillId="64" borderId="36" xfId="61" applyNumberFormat="1" applyFont="1" applyFill="1" applyBorder="1" applyAlignment="1" applyProtection="1">
      <alignment horizontal="left" vertical="top" wrapText="1"/>
      <protection hidden="1"/>
    </xf>
    <xf numFmtId="167" fontId="114" fillId="63" borderId="32" xfId="8" applyFont="1" applyFill="1" applyBorder="1" applyAlignment="1">
      <alignment horizontal="center" vertical="top" wrapText="1"/>
    </xf>
    <xf numFmtId="0" fontId="113" fillId="0" borderId="0" xfId="0" applyFont="1" applyAlignment="1">
      <alignment horizontal="center" vertical="center"/>
    </xf>
    <xf numFmtId="0" fontId="116" fillId="0" borderId="0" xfId="16" applyFont="1"/>
    <xf numFmtId="1" fontId="81" fillId="0" borderId="36" xfId="60" applyNumberFormat="1" applyFont="1" applyBorder="1" applyAlignment="1">
      <alignment horizontal="center"/>
    </xf>
    <xf numFmtId="2" fontId="117" fillId="0" borderId="0" xfId="0" applyNumberFormat="1" applyFont="1"/>
    <xf numFmtId="2" fontId="115" fillId="63" borderId="32" xfId="0" applyNumberFormat="1" applyFont="1" applyFill="1" applyBorder="1" applyAlignment="1">
      <alignment horizontal="center" vertical="top" wrapText="1"/>
    </xf>
    <xf numFmtId="0" fontId="113" fillId="0" borderId="0" xfId="0" applyFont="1" applyAlignment="1">
      <alignment horizontal="center"/>
    </xf>
    <xf numFmtId="2" fontId="118" fillId="0" borderId="0" xfId="13" applyNumberFormat="1" applyFont="1" applyAlignment="1" applyProtection="1">
      <alignment vertical="center"/>
      <protection locked="0"/>
    </xf>
    <xf numFmtId="2" fontId="123" fillId="0" borderId="0" xfId="13" applyNumberFormat="1" applyFont="1" applyAlignment="1" applyProtection="1">
      <alignment horizontal="center" wrapText="1"/>
      <protection hidden="1"/>
    </xf>
    <xf numFmtId="0" fontId="113" fillId="0" borderId="0" xfId="0" applyFont="1" applyAlignment="1">
      <alignment horizontal="center" wrapText="1"/>
    </xf>
    <xf numFmtId="2" fontId="122" fillId="63" borderId="35" xfId="13" applyNumberFormat="1" applyFont="1" applyFill="1" applyBorder="1" applyAlignment="1" applyProtection="1">
      <alignment horizontal="left" vertical="center" wrapText="1"/>
      <protection hidden="1"/>
    </xf>
    <xf numFmtId="2" fontId="122" fillId="63" borderId="36" xfId="3" applyNumberFormat="1" applyFont="1" applyFill="1" applyBorder="1" applyAlignment="1" applyProtection="1">
      <alignment vertical="center" wrapText="1"/>
      <protection hidden="1"/>
    </xf>
    <xf numFmtId="173" fontId="114" fillId="63" borderId="35" xfId="8" applyNumberFormat="1" applyFont="1" applyFill="1" applyBorder="1" applyAlignment="1">
      <alignment vertical="top" wrapText="1"/>
    </xf>
    <xf numFmtId="173" fontId="114" fillId="63" borderId="37" xfId="8" applyNumberFormat="1" applyFont="1" applyFill="1" applyBorder="1" applyAlignment="1">
      <alignment vertical="top" wrapText="1"/>
    </xf>
    <xf numFmtId="173" fontId="114" fillId="63" borderId="34" xfId="8" applyNumberFormat="1" applyFont="1" applyFill="1" applyBorder="1" applyAlignment="1">
      <alignment vertical="top" wrapText="1"/>
    </xf>
    <xf numFmtId="173" fontId="114" fillId="63" borderId="38" xfId="8" applyNumberFormat="1" applyFont="1" applyFill="1" applyBorder="1" applyAlignment="1">
      <alignment vertical="top" wrapText="1"/>
    </xf>
    <xf numFmtId="0" fontId="114" fillId="63" borderId="35" xfId="58" applyFont="1" applyFill="1" applyBorder="1" applyAlignment="1">
      <alignment horizontal="left" vertical="top" wrapText="1"/>
    </xf>
    <xf numFmtId="0" fontId="114" fillId="63" borderId="37" xfId="58" applyFont="1" applyFill="1" applyBorder="1" applyAlignment="1">
      <alignment horizontal="left" vertical="top" wrapText="1"/>
    </xf>
    <xf numFmtId="0" fontId="114" fillId="63" borderId="34" xfId="58" applyFont="1" applyFill="1" applyBorder="1" applyAlignment="1">
      <alignment horizontal="left" vertical="top" wrapText="1"/>
    </xf>
    <xf numFmtId="2" fontId="114" fillId="63" borderId="32" xfId="0" applyNumberFormat="1" applyFont="1" applyFill="1" applyBorder="1" applyAlignment="1">
      <alignment horizontal="left" vertical="top" wrapText="1"/>
    </xf>
    <xf numFmtId="0" fontId="113" fillId="0" borderId="0" xfId="83" applyFont="1"/>
    <xf numFmtId="166" fontId="127" fillId="2" borderId="34" xfId="17" applyFont="1" applyFill="1" applyBorder="1" applyAlignment="1"/>
    <xf numFmtId="167" fontId="35" fillId="64" borderId="36" xfId="8" applyFont="1" applyFill="1" applyBorder="1" applyAlignment="1">
      <alignment horizontal="left"/>
    </xf>
    <xf numFmtId="177" fontId="128" fillId="0" borderId="2" xfId="6" applyNumberFormat="1" applyFont="1" applyFill="1" applyBorder="1" applyAlignment="1"/>
    <xf numFmtId="44" fontId="128" fillId="0" borderId="0" xfId="62" applyNumberFormat="1" applyFont="1"/>
    <xf numFmtId="9" fontId="35" fillId="64" borderId="36" xfId="15" applyFont="1" applyFill="1" applyBorder="1" applyAlignment="1">
      <alignment horizontal="center"/>
    </xf>
    <xf numFmtId="44" fontId="125" fillId="63" borderId="34" xfId="62" applyNumberFormat="1" applyFont="1" applyFill="1" applyBorder="1"/>
    <xf numFmtId="2" fontId="35" fillId="64" borderId="36" xfId="8" applyNumberFormat="1" applyFont="1" applyFill="1" applyBorder="1" applyAlignment="1">
      <alignment horizontal="center"/>
    </xf>
    <xf numFmtId="1" fontId="126" fillId="2" borderId="36" xfId="8" applyNumberFormat="1" applyFont="1" applyFill="1" applyBorder="1" applyAlignment="1">
      <alignment horizontal="center"/>
    </xf>
    <xf numFmtId="173" fontId="126" fillId="2" borderId="36" xfId="8" applyNumberFormat="1" applyFont="1" applyFill="1" applyBorder="1"/>
    <xf numFmtId="167" fontId="126" fillId="2" borderId="36" xfId="8" applyFont="1" applyFill="1" applyBorder="1"/>
    <xf numFmtId="179" fontId="35" fillId="0" borderId="36" xfId="88" applyNumberFormat="1" applyFont="1" applyBorder="1"/>
    <xf numFmtId="173" fontId="80" fillId="63" borderId="35" xfId="8" applyNumberFormat="1" applyFont="1" applyFill="1" applyBorder="1" applyAlignment="1">
      <alignment horizontal="left"/>
    </xf>
    <xf numFmtId="167" fontId="80" fillId="63" borderId="34" xfId="8" applyFont="1" applyFill="1" applyBorder="1"/>
    <xf numFmtId="49" fontId="82" fillId="0" borderId="35" xfId="62" applyNumberFormat="1" applyFont="1" applyBorder="1" applyAlignment="1">
      <alignment vertical="top"/>
    </xf>
    <xf numFmtId="0" fontId="79" fillId="0" borderId="37" xfId="62" applyFont="1" applyBorder="1"/>
    <xf numFmtId="49" fontId="81" fillId="0" borderId="37" xfId="62" applyNumberFormat="1" applyFont="1" applyBorder="1"/>
    <xf numFmtId="49" fontId="80" fillId="63" borderId="35" xfId="62" applyNumberFormat="1" applyFont="1" applyFill="1" applyBorder="1"/>
    <xf numFmtId="0" fontId="80" fillId="63" borderId="37" xfId="62" applyFont="1" applyFill="1" applyBorder="1"/>
    <xf numFmtId="173" fontId="80" fillId="63" borderId="36" xfId="8" applyNumberFormat="1" applyFont="1" applyFill="1" applyBorder="1" applyAlignment="1">
      <alignment vertical="top" wrapText="1"/>
    </xf>
    <xf numFmtId="173" fontId="80" fillId="63" borderId="36" xfId="8" applyNumberFormat="1" applyFont="1" applyFill="1" applyBorder="1" applyAlignment="1">
      <alignment horizontal="center" vertical="top" wrapText="1"/>
    </xf>
    <xf numFmtId="167" fontId="80" fillId="63" borderId="36" xfId="8" applyFont="1" applyFill="1" applyBorder="1" applyAlignment="1">
      <alignment horizontal="center" vertical="top" wrapText="1"/>
    </xf>
    <xf numFmtId="167" fontId="80" fillId="63" borderId="32" xfId="8" applyFont="1" applyFill="1" applyBorder="1" applyAlignment="1">
      <alignment horizontal="center" vertical="top" wrapText="1"/>
    </xf>
    <xf numFmtId="0" fontId="35" fillId="0" borderId="0" xfId="16" applyFont="1"/>
    <xf numFmtId="0" fontId="126" fillId="0" borderId="0" xfId="16" applyFont="1"/>
    <xf numFmtId="0" fontId="35" fillId="0" borderId="0" xfId="0" applyFont="1"/>
    <xf numFmtId="0" fontId="35" fillId="0" borderId="0" xfId="0" applyFont="1" applyAlignment="1">
      <alignment horizontal="center"/>
    </xf>
    <xf numFmtId="2" fontId="126" fillId="0" borderId="0" xfId="0" applyNumberFormat="1" applyFont="1" applyAlignment="1">
      <alignment horizontal="center"/>
    </xf>
    <xf numFmtId="2" fontId="129" fillId="0" borderId="0" xfId="0" applyNumberFormat="1" applyFont="1" applyAlignment="1">
      <alignment horizontal="center"/>
    </xf>
    <xf numFmtId="43" fontId="131" fillId="0" borderId="36" xfId="8" applyNumberFormat="1" applyFont="1" applyFill="1" applyBorder="1" applyAlignment="1">
      <alignment horizontal="center"/>
    </xf>
    <xf numFmtId="1" fontId="132" fillId="0" borderId="36" xfId="0" applyNumberFormat="1" applyFont="1" applyBorder="1" applyAlignment="1">
      <alignment horizontal="center"/>
    </xf>
    <xf numFmtId="14" fontId="130"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5"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5" fillId="0" borderId="36" xfId="3" applyNumberFormat="1" applyFont="1" applyFill="1" applyBorder="1" applyAlignment="1" applyProtection="1">
      <protection hidden="1"/>
    </xf>
    <xf numFmtId="166" fontId="135" fillId="35" borderId="36" xfId="17" applyFont="1" applyFill="1" applyBorder="1" applyAlignment="1" applyProtection="1">
      <protection locked="0"/>
    </xf>
    <xf numFmtId="174" fontId="136" fillId="0" borderId="5" xfId="0" applyNumberFormat="1" applyFont="1" applyBorder="1" applyAlignment="1">
      <alignment horizontal="center" vertical="center"/>
    </xf>
    <xf numFmtId="166" fontId="135" fillId="65" borderId="36" xfId="17" applyFont="1" applyFill="1" applyBorder="1" applyAlignment="1" applyProtection="1">
      <protection locked="0"/>
    </xf>
    <xf numFmtId="178" fontId="126" fillId="0" borderId="36" xfId="3" applyNumberFormat="1" applyFont="1" applyFill="1" applyBorder="1" applyAlignment="1" applyProtection="1">
      <protection hidden="1"/>
    </xf>
    <xf numFmtId="169" fontId="135" fillId="0" borderId="36" xfId="3" applyFont="1" applyFill="1" applyBorder="1" applyAlignment="1" applyProtection="1">
      <protection hidden="1"/>
    </xf>
    <xf numFmtId="166" fontId="135" fillId="0" borderId="36" xfId="17" applyFont="1" applyFill="1" applyBorder="1" applyAlignment="1" applyProtection="1">
      <protection locked="0"/>
    </xf>
    <xf numFmtId="169" fontId="135" fillId="0" borderId="36" xfId="3" applyFont="1" applyFill="1" applyBorder="1" applyAlignment="1" applyProtection="1">
      <protection locked="0"/>
    </xf>
    <xf numFmtId="166" fontId="138" fillId="2" borderId="36" xfId="17" applyFont="1" applyFill="1" applyBorder="1" applyAlignment="1" applyProtection="1">
      <alignment horizontal="right"/>
      <protection locked="0"/>
    </xf>
    <xf numFmtId="174" fontId="131" fillId="0" borderId="5" xfId="0" applyNumberFormat="1" applyFont="1" applyBorder="1" applyAlignment="1">
      <alignment horizontal="center" vertical="center"/>
    </xf>
    <xf numFmtId="174" fontId="139" fillId="0" borderId="5" xfId="0" applyNumberFormat="1" applyFont="1" applyBorder="1" applyAlignment="1">
      <alignment horizontal="center" vertical="center"/>
    </xf>
    <xf numFmtId="174" fontId="35" fillId="0" borderId="5" xfId="0" applyNumberFormat="1" applyFont="1" applyBorder="1"/>
    <xf numFmtId="178" fontId="126"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40" fillId="0" borderId="36" xfId="5" applyNumberFormat="1" applyFont="1" applyFill="1" applyBorder="1" applyAlignment="1" applyProtection="1">
      <protection hidden="1"/>
    </xf>
    <xf numFmtId="178" fontId="131" fillId="0" borderId="0" xfId="0" applyNumberFormat="1" applyFont="1"/>
    <xf numFmtId="0" fontId="131" fillId="0" borderId="0" xfId="0" applyFont="1"/>
    <xf numFmtId="14" fontId="130" fillId="0" borderId="0" xfId="0" applyNumberFormat="1" applyFont="1" applyAlignment="1">
      <alignment horizontal="left"/>
    </xf>
    <xf numFmtId="166" fontId="35" fillId="0" borderId="35" xfId="17" applyFont="1" applyFill="1" applyBorder="1" applyAlignment="1" applyProtection="1">
      <protection hidden="1"/>
    </xf>
    <xf numFmtId="166" fontId="126" fillId="0" borderId="36" xfId="17" applyFont="1" applyBorder="1"/>
    <xf numFmtId="1" fontId="126" fillId="0" borderId="36" xfId="13" applyNumberFormat="1" applyFont="1" applyBorder="1" applyAlignment="1" applyProtection="1">
      <alignment horizontal="center"/>
      <protection hidden="1"/>
    </xf>
    <xf numFmtId="166" fontId="35" fillId="64" borderId="36" xfId="17" applyFont="1" applyFill="1" applyBorder="1"/>
    <xf numFmtId="2" fontId="35" fillId="0" borderId="35" xfId="13" applyNumberFormat="1" applyFont="1" applyBorder="1" applyProtection="1">
      <protection hidden="1"/>
    </xf>
    <xf numFmtId="14" fontId="130" fillId="0" borderId="0" xfId="62" applyNumberFormat="1" applyFont="1" applyAlignment="1">
      <alignment horizontal="left"/>
    </xf>
    <xf numFmtId="0" fontId="35" fillId="0" borderId="0" xfId="102" applyFont="1"/>
    <xf numFmtId="14" fontId="143" fillId="0" borderId="0" xfId="62" applyNumberFormat="1" applyFont="1" applyAlignment="1">
      <alignment horizontal="left"/>
    </xf>
    <xf numFmtId="0" fontId="135" fillId="0" borderId="32" xfId="61" applyFont="1" applyBorder="1" applyAlignment="1" applyProtection="1">
      <alignment horizontal="left" textRotation="90"/>
      <protection hidden="1"/>
    </xf>
    <xf numFmtId="174" fontId="135" fillId="64" borderId="32" xfId="64" applyNumberFormat="1" applyFont="1" applyFill="1" applyBorder="1" applyAlignment="1" applyProtection="1">
      <alignment horizontal="center"/>
      <protection hidden="1"/>
    </xf>
    <xf numFmtId="0" fontId="135" fillId="0" borderId="0" xfId="61" applyFont="1" applyAlignment="1" applyProtection="1">
      <alignment horizontal="left" textRotation="90"/>
      <protection hidden="1"/>
    </xf>
    <xf numFmtId="0" fontId="35" fillId="0" borderId="0" xfId="83" applyFont="1"/>
    <xf numFmtId="0" fontId="144" fillId="0" borderId="0" xfId="61" applyFont="1" applyAlignment="1" applyProtection="1">
      <alignment horizontal="left" textRotation="90"/>
      <protection hidden="1"/>
    </xf>
    <xf numFmtId="178" fontId="135" fillId="64" borderId="36" xfId="61" applyNumberFormat="1" applyFont="1" applyFill="1" applyBorder="1" applyAlignment="1" applyProtection="1">
      <alignment horizontal="center"/>
      <protection hidden="1"/>
    </xf>
    <xf numFmtId="178" fontId="135" fillId="2" borderId="36" xfId="61" applyNumberFormat="1" applyFont="1" applyFill="1" applyBorder="1" applyAlignment="1" applyProtection="1">
      <alignment horizontal="center"/>
      <protection hidden="1"/>
    </xf>
    <xf numFmtId="178" fontId="135" fillId="0" borderId="36" xfId="61" applyNumberFormat="1" applyFont="1" applyBorder="1" applyAlignment="1" applyProtection="1">
      <alignment horizontal="center"/>
      <protection hidden="1"/>
    </xf>
    <xf numFmtId="3" fontId="135" fillId="64" borderId="36" xfId="61" applyNumberFormat="1" applyFont="1" applyFill="1" applyBorder="1" applyAlignment="1" applyProtection="1">
      <alignment horizontal="center"/>
      <protection hidden="1"/>
    </xf>
    <xf numFmtId="166" fontId="35" fillId="0" borderId="36" xfId="101" applyFont="1" applyBorder="1"/>
    <xf numFmtId="179" fontId="35" fillId="0" borderId="36" xfId="83" applyNumberFormat="1" applyFont="1" applyBorder="1"/>
    <xf numFmtId="196" fontId="35" fillId="0" borderId="36" xfId="83" applyNumberFormat="1" applyFont="1" applyBorder="1"/>
    <xf numFmtId="166" fontId="35" fillId="0" borderId="36" xfId="83" applyNumberFormat="1" applyFont="1" applyBorder="1"/>
    <xf numFmtId="0" fontId="126" fillId="0" borderId="37" xfId="83" applyFont="1" applyBorder="1"/>
    <xf numFmtId="0" fontId="126" fillId="0" borderId="34" xfId="83" applyFont="1" applyBorder="1"/>
    <xf numFmtId="166" fontId="126" fillId="0" borderId="36" xfId="83" applyNumberFormat="1" applyFont="1" applyBorder="1"/>
    <xf numFmtId="49" fontId="78" fillId="65" borderId="36" xfId="61" applyNumberFormat="1" applyFont="1" applyFill="1" applyBorder="1" applyAlignment="1" applyProtection="1">
      <alignment horizontal="left" vertical="top"/>
      <protection hidden="1"/>
    </xf>
    <xf numFmtId="2" fontId="80" fillId="63" borderId="36" xfId="88" applyNumberFormat="1" applyFont="1" applyFill="1" applyBorder="1" applyAlignment="1">
      <alignment vertical="top" wrapText="1"/>
    </xf>
    <xf numFmtId="2" fontId="79" fillId="0" borderId="36" xfId="0" applyNumberFormat="1" applyFont="1" applyBorder="1"/>
    <xf numFmtId="0" fontId="85" fillId="0" borderId="36" xfId="0" applyFont="1" applyBorder="1"/>
    <xf numFmtId="0" fontId="81" fillId="0" borderId="36" xfId="88" applyFont="1" applyBorder="1"/>
    <xf numFmtId="166" fontId="35" fillId="2" borderId="36" xfId="17" applyFont="1" applyFill="1" applyBorder="1" applyAlignment="1">
      <alignment horizontal="center"/>
    </xf>
    <xf numFmtId="1" fontId="112" fillId="0" borderId="35" xfId="0" applyNumberFormat="1" applyFont="1" applyBorder="1" applyAlignment="1">
      <alignment horizontal="left" vertical="center"/>
    </xf>
    <xf numFmtId="1" fontId="112" fillId="0" borderId="37" xfId="0" applyNumberFormat="1" applyFont="1" applyBorder="1" applyAlignment="1">
      <alignment horizontal="left" vertical="center"/>
    </xf>
    <xf numFmtId="1" fontId="133" fillId="0" borderId="37" xfId="0" applyNumberFormat="1" applyFont="1" applyBorder="1" applyAlignment="1">
      <alignment horizontal="center" vertical="center" wrapText="1"/>
    </xf>
    <xf numFmtId="1" fontId="112" fillId="0" borderId="34" xfId="0" applyNumberFormat="1" applyFont="1" applyBorder="1" applyAlignment="1">
      <alignment horizontal="center" vertical="center" wrapText="1"/>
    </xf>
    <xf numFmtId="2" fontId="114" fillId="63" borderId="36" xfId="0" applyNumberFormat="1" applyFont="1" applyFill="1" applyBorder="1" applyAlignment="1">
      <alignment horizontal="left" vertical="center" wrapText="1"/>
    </xf>
    <xf numFmtId="1" fontId="114" fillId="63" borderId="36" xfId="0" applyNumberFormat="1" applyFont="1" applyFill="1" applyBorder="1" applyAlignment="1">
      <alignment horizontal="center" vertical="center" wrapText="1"/>
    </xf>
    <xf numFmtId="0" fontId="114" fillId="63" borderId="36" xfId="0" applyFont="1" applyFill="1" applyBorder="1" applyAlignment="1">
      <alignment horizontal="left" vertical="center" wrapText="1"/>
    </xf>
    <xf numFmtId="2" fontId="114" fillId="63" borderId="36" xfId="0" applyNumberFormat="1" applyFont="1" applyFill="1" applyBorder="1" applyAlignment="1">
      <alignment horizontal="center" vertical="center" wrapText="1"/>
    </xf>
    <xf numFmtId="0" fontId="79" fillId="2" borderId="36" xfId="0" applyFont="1" applyFill="1" applyBorder="1" applyAlignment="1">
      <alignment vertical="center"/>
    </xf>
    <xf numFmtId="173" fontId="126" fillId="64" borderId="36" xfId="8" applyNumberFormat="1" applyFont="1" applyFill="1" applyBorder="1" applyAlignment="1">
      <alignment horizontal="center"/>
    </xf>
    <xf numFmtId="173" fontId="35" fillId="0" borderId="36" xfId="8" applyNumberFormat="1" applyFont="1" applyFill="1" applyBorder="1" applyAlignment="1">
      <alignment horizontal="center" vertical="center"/>
    </xf>
    <xf numFmtId="0" fontId="79" fillId="0" borderId="36" xfId="0" applyFont="1" applyBorder="1" applyAlignment="1">
      <alignment horizontal="center" vertical="center"/>
    </xf>
    <xf numFmtId="0" fontId="79" fillId="0" borderId="36" xfId="0" applyFont="1" applyBorder="1" applyAlignment="1">
      <alignment vertical="center"/>
    </xf>
    <xf numFmtId="173" fontId="126" fillId="0" borderId="36" xfId="8" applyNumberFormat="1" applyFont="1" applyFill="1" applyBorder="1" applyAlignment="1">
      <alignment horizontal="center"/>
    </xf>
    <xf numFmtId="49" fontId="35" fillId="0" borderId="36" xfId="0" applyNumberFormat="1" applyFont="1" applyBorder="1" applyAlignment="1">
      <alignment horizontal="center"/>
    </xf>
    <xf numFmtId="0" fontId="81" fillId="0" borderId="36" xfId="0" applyFont="1" applyBorder="1" applyAlignment="1">
      <alignment vertical="center"/>
    </xf>
    <xf numFmtId="0" fontId="126" fillId="0" borderId="36" xfId="0" applyFont="1" applyBorder="1"/>
    <xf numFmtId="173" fontId="126" fillId="0" borderId="36" xfId="8" applyNumberFormat="1" applyFont="1" applyFill="1" applyBorder="1" applyAlignment="1">
      <alignment horizontal="center" vertical="center"/>
    </xf>
    <xf numFmtId="0" fontId="81" fillId="0" borderId="36" xfId="0" applyFont="1" applyBorder="1" applyAlignment="1">
      <alignment horizontal="center" vertical="center"/>
    </xf>
    <xf numFmtId="1" fontId="114" fillId="63" borderId="36" xfId="0" applyNumberFormat="1" applyFont="1" applyFill="1" applyBorder="1" applyAlignment="1">
      <alignment horizontal="left"/>
    </xf>
    <xf numFmtId="1" fontId="114" fillId="63" borderId="36" xfId="0" applyNumberFormat="1" applyFont="1" applyFill="1" applyBorder="1" applyAlignment="1">
      <alignment horizontal="center"/>
    </xf>
    <xf numFmtId="0" fontId="114" fillId="63" borderId="32" xfId="0" applyFont="1" applyFill="1" applyBorder="1" applyAlignment="1">
      <alignment horizontal="left" vertical="top" wrapText="1"/>
    </xf>
    <xf numFmtId="181" fontId="114" fillId="63" borderId="32" xfId="8" applyNumberFormat="1" applyFont="1" applyFill="1" applyBorder="1" applyAlignment="1">
      <alignment horizontal="left" vertical="top" wrapText="1"/>
    </xf>
    <xf numFmtId="167" fontId="115" fillId="63" borderId="32" xfId="8" applyFont="1" applyFill="1" applyBorder="1" applyAlignment="1">
      <alignment horizontal="center" vertical="top" wrapText="1"/>
    </xf>
    <xf numFmtId="1" fontId="128" fillId="0" borderId="36" xfId="0" applyNumberFormat="1" applyFont="1" applyBorder="1" applyAlignment="1">
      <alignment horizontal="center"/>
    </xf>
    <xf numFmtId="1" fontId="131" fillId="0" borderId="36" xfId="8" applyNumberFormat="1" applyFont="1" applyFill="1" applyBorder="1" applyAlignment="1">
      <alignment horizontal="center"/>
    </xf>
    <xf numFmtId="2" fontId="86" fillId="0" borderId="36" xfId="8" applyNumberFormat="1" applyFont="1" applyFill="1" applyBorder="1" applyAlignment="1">
      <alignment horizontal="center"/>
    </xf>
    <xf numFmtId="173" fontId="131" fillId="0" borderId="36" xfId="8" applyNumberFormat="1" applyFont="1" applyFill="1" applyBorder="1" applyAlignment="1">
      <alignment horizontal="center"/>
    </xf>
    <xf numFmtId="0" fontId="79" fillId="0" borderId="34" xfId="0" applyFont="1" applyBorder="1"/>
    <xf numFmtId="2" fontId="119" fillId="63" borderId="35" xfId="13" applyNumberFormat="1" applyFont="1" applyFill="1" applyBorder="1" applyAlignment="1" applyProtection="1">
      <alignment horizontal="left" vertical="center"/>
      <protection hidden="1"/>
    </xf>
    <xf numFmtId="2" fontId="92" fillId="63" borderId="37" xfId="11" applyNumberFormat="1" applyFont="1" applyFill="1" applyBorder="1" applyProtection="1">
      <protection hidden="1"/>
    </xf>
    <xf numFmtId="2" fontId="92" fillId="63" borderId="34" xfId="11" applyNumberFormat="1" applyFont="1" applyFill="1" applyBorder="1" applyProtection="1">
      <protection hidden="1"/>
    </xf>
    <xf numFmtId="2" fontId="79" fillId="0" borderId="35" xfId="11" applyNumberFormat="1" applyFont="1" applyBorder="1" applyProtection="1">
      <protection hidden="1"/>
    </xf>
    <xf numFmtId="2" fontId="79" fillId="0" borderId="34" xfId="11" applyNumberFormat="1" applyFont="1" applyBorder="1" applyProtection="1">
      <protection hidden="1"/>
    </xf>
    <xf numFmtId="0" fontId="81" fillId="0" borderId="35" xfId="0" applyFont="1" applyBorder="1"/>
    <xf numFmtId="0" fontId="81" fillId="0" borderId="34" xfId="0" applyFont="1" applyBorder="1"/>
    <xf numFmtId="176" fontId="126"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6" fillId="0" borderId="34" xfId="0" applyNumberFormat="1" applyFont="1" applyBorder="1"/>
    <xf numFmtId="2" fontId="81" fillId="0" borderId="36" xfId="11" applyNumberFormat="1" applyFont="1" applyBorder="1" applyAlignment="1" applyProtection="1">
      <alignment horizontal="center"/>
      <protection hidden="1"/>
    </xf>
    <xf numFmtId="178" fontId="135" fillId="0" borderId="36" xfId="13" applyNumberFormat="1" applyFont="1" applyBorder="1" applyAlignment="1" applyProtection="1">
      <alignment horizontal="left" vertical="center"/>
      <protection hidden="1"/>
    </xf>
    <xf numFmtId="166" fontId="135" fillId="64" borderId="36" xfId="17" applyFont="1" applyFill="1" applyBorder="1" applyAlignment="1" applyProtection="1">
      <alignment horizontal="right" vertical="center"/>
      <protection hidden="1"/>
    </xf>
    <xf numFmtId="0" fontId="79"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9" fillId="0" borderId="37" xfId="0" applyFont="1" applyBorder="1"/>
    <xf numFmtId="0" fontId="81" fillId="0" borderId="35" xfId="13" applyFont="1" applyBorder="1" applyAlignment="1" applyProtection="1">
      <alignment vertical="center"/>
      <protection hidden="1"/>
    </xf>
    <xf numFmtId="0" fontId="81" fillId="0" borderId="37" xfId="0" applyFont="1" applyBorder="1"/>
    <xf numFmtId="10" fontId="126" fillId="0" borderId="36" xfId="15" applyNumberFormat="1" applyFont="1" applyFill="1" applyBorder="1" applyAlignment="1"/>
    <xf numFmtId="0" fontId="119" fillId="63" borderId="35" xfId="13" applyFont="1" applyFill="1" applyBorder="1" applyAlignment="1" applyProtection="1">
      <alignment horizontal="left" vertical="center"/>
      <protection hidden="1"/>
    </xf>
    <xf numFmtId="0" fontId="120" fillId="63" borderId="37" xfId="13" applyFont="1" applyFill="1" applyBorder="1" applyAlignment="1" applyProtection="1">
      <alignment horizontal="left" vertical="center"/>
      <protection hidden="1"/>
    </xf>
    <xf numFmtId="9" fontId="121" fillId="63" borderId="34" xfId="13" applyNumberFormat="1" applyFont="1" applyFill="1" applyBorder="1" applyAlignment="1" applyProtection="1">
      <alignment vertical="center"/>
      <protection hidden="1"/>
    </xf>
    <xf numFmtId="0" fontId="114" fillId="63" borderId="36" xfId="13" applyFont="1" applyFill="1" applyBorder="1" applyAlignment="1" applyProtection="1">
      <alignment horizontal="left" vertical="center"/>
      <protection hidden="1"/>
    </xf>
    <xf numFmtId="0" fontId="89" fillId="0" borderId="36" xfId="13" applyFont="1" applyBorder="1" applyAlignment="1" applyProtection="1">
      <alignment horizontal="left" vertical="center"/>
      <protection hidden="1"/>
    </xf>
    <xf numFmtId="2" fontId="135" fillId="2" borderId="36" xfId="13" applyNumberFormat="1" applyFont="1" applyFill="1" applyBorder="1" applyAlignment="1" applyProtection="1">
      <alignment horizontal="right" vertical="center"/>
      <protection hidden="1"/>
    </xf>
    <xf numFmtId="0" fontId="81" fillId="0" borderId="36" xfId="13" applyFont="1" applyBorder="1" applyAlignment="1" applyProtection="1">
      <alignment vertical="center"/>
      <protection hidden="1"/>
    </xf>
    <xf numFmtId="2" fontId="126" fillId="0" borderId="36" xfId="13" applyNumberFormat="1" applyFont="1" applyBorder="1" applyAlignment="1" applyProtection="1">
      <alignment vertical="center"/>
      <protection hidden="1"/>
    </xf>
    <xf numFmtId="0" fontId="93" fillId="0" borderId="36" xfId="13" applyFont="1" applyBorder="1" applyAlignment="1" applyProtection="1">
      <alignment vertical="center"/>
      <protection hidden="1"/>
    </xf>
    <xf numFmtId="0" fontId="35" fillId="0" borderId="36" xfId="0" applyFont="1" applyBorder="1" applyAlignment="1">
      <alignment vertical="center"/>
    </xf>
    <xf numFmtId="2" fontId="135" fillId="64" borderId="36" xfId="13" applyNumberFormat="1" applyFont="1" applyFill="1" applyBorder="1" applyAlignment="1" applyProtection="1">
      <alignment horizontal="right" vertical="center"/>
      <protection hidden="1"/>
    </xf>
    <xf numFmtId="0" fontId="94" fillId="0" borderId="36" xfId="13" applyFont="1" applyBorder="1" applyAlignment="1" applyProtection="1">
      <alignment vertical="center"/>
      <protection hidden="1"/>
    </xf>
    <xf numFmtId="0" fontId="79" fillId="0" borderId="36" xfId="13" applyFont="1" applyBorder="1" applyAlignment="1" applyProtection="1">
      <alignment vertical="center"/>
      <protection hidden="1"/>
    </xf>
    <xf numFmtId="10" fontId="135" fillId="0" borderId="36" xfId="15" applyNumberFormat="1" applyFont="1" applyFill="1" applyBorder="1" applyAlignment="1" applyProtection="1">
      <alignment vertical="center"/>
      <protection hidden="1"/>
    </xf>
    <xf numFmtId="10" fontId="126" fillId="0" borderId="36" xfId="15" applyNumberFormat="1" applyFont="1" applyFill="1" applyBorder="1" applyAlignment="1" applyProtection="1">
      <alignment vertical="center"/>
      <protection hidden="1"/>
    </xf>
    <xf numFmtId="2" fontId="122" fillId="63" borderId="37" xfId="13" applyNumberFormat="1" applyFont="1" applyFill="1" applyBorder="1" applyAlignment="1" applyProtection="1">
      <alignment horizontal="center" wrapText="1"/>
      <protection hidden="1"/>
    </xf>
    <xf numFmtId="2" fontId="122" fillId="63" borderId="34" xfId="13" applyNumberFormat="1" applyFont="1" applyFill="1" applyBorder="1" applyAlignment="1" applyProtection="1">
      <alignment horizontal="right" wrapText="1"/>
      <protection hidden="1"/>
    </xf>
    <xf numFmtId="2" fontId="101" fillId="0" borderId="37" xfId="3" applyNumberFormat="1" applyFont="1" applyFill="1" applyBorder="1" applyAlignment="1" applyProtection="1">
      <alignment horizontal="center" vertical="center"/>
      <protection hidden="1"/>
    </xf>
    <xf numFmtId="2" fontId="101" fillId="0" borderId="34" xfId="3" applyNumberFormat="1" applyFont="1" applyFill="1" applyBorder="1" applyAlignment="1" applyProtection="1">
      <alignment horizontal="right" vertical="center"/>
      <protection hidden="1"/>
    </xf>
    <xf numFmtId="174" fontId="136" fillId="0" borderId="38" xfId="0" applyNumberFormat="1" applyFont="1" applyBorder="1" applyAlignment="1">
      <alignment horizontal="center" vertical="center"/>
    </xf>
    <xf numFmtId="2" fontId="102" fillId="0" borderId="37" xfId="3" applyNumberFormat="1" applyFont="1" applyFill="1" applyBorder="1" applyAlignment="1" applyProtection="1">
      <alignment horizontal="left" vertical="center"/>
      <protection hidden="1"/>
    </xf>
    <xf numFmtId="2" fontId="96" fillId="0" borderId="34" xfId="3" applyNumberFormat="1" applyFont="1" applyFill="1" applyBorder="1" applyAlignment="1" applyProtection="1">
      <alignment horizontal="right" vertical="center"/>
      <protection hidden="1"/>
    </xf>
    <xf numFmtId="10" fontId="103" fillId="0" borderId="34" xfId="15" applyNumberFormat="1" applyFont="1" applyFill="1" applyBorder="1" applyAlignment="1" applyProtection="1">
      <alignment horizontal="right"/>
      <protection hidden="1"/>
    </xf>
    <xf numFmtId="0" fontId="81" fillId="0" borderId="35" xfId="13" applyFont="1" applyBorder="1" applyProtection="1">
      <protection hidden="1"/>
    </xf>
    <xf numFmtId="0" fontId="105" fillId="0" borderId="37" xfId="13" applyFont="1" applyBorder="1" applyProtection="1">
      <protection hidden="1"/>
    </xf>
    <xf numFmtId="0" fontId="105" fillId="0" borderId="34" xfId="13" applyFont="1" applyBorder="1" applyAlignment="1" applyProtection="1">
      <alignment horizontal="right"/>
      <protection hidden="1"/>
    </xf>
    <xf numFmtId="0" fontId="103" fillId="0" borderId="37" xfId="13" applyFont="1" applyBorder="1" applyAlignment="1" applyProtection="1">
      <alignment horizontal="right"/>
      <protection hidden="1"/>
    </xf>
    <xf numFmtId="0" fontId="103" fillId="0" borderId="34" xfId="13" applyFont="1" applyBorder="1" applyAlignment="1" applyProtection="1">
      <alignment horizontal="right"/>
      <protection hidden="1"/>
    </xf>
    <xf numFmtId="0" fontId="89" fillId="0" borderId="35" xfId="13" applyFont="1" applyBorder="1" applyProtection="1">
      <protection hidden="1"/>
    </xf>
    <xf numFmtId="10" fontId="141" fillId="64" borderId="36" xfId="15" applyNumberFormat="1" applyFont="1" applyFill="1" applyBorder="1" applyAlignment="1" applyProtection="1">
      <alignment horizontal="right"/>
      <protection hidden="1"/>
    </xf>
    <xf numFmtId="0" fontId="104" fillId="0" borderId="37" xfId="13" applyFont="1" applyBorder="1" applyAlignment="1" applyProtection="1">
      <alignment horizontal="center"/>
      <protection hidden="1"/>
    </xf>
    <xf numFmtId="174" fontId="137" fillId="0" borderId="36" xfId="15" applyNumberFormat="1" applyFont="1" applyFill="1" applyBorder="1" applyAlignment="1" applyProtection="1">
      <alignment horizontal="center"/>
      <protection hidden="1"/>
    </xf>
    <xf numFmtId="0" fontId="86" fillId="0" borderId="35" xfId="13" applyFont="1" applyBorder="1" applyProtection="1">
      <protection hidden="1"/>
    </xf>
    <xf numFmtId="10" fontId="103" fillId="0" borderId="37" xfId="13" applyNumberFormat="1" applyFont="1" applyBorder="1" applyAlignment="1" applyProtection="1">
      <alignment horizontal="right"/>
      <protection hidden="1"/>
    </xf>
    <xf numFmtId="174" fontId="104" fillId="0" borderId="34" xfId="15" applyNumberFormat="1" applyFont="1" applyFill="1" applyBorder="1" applyAlignment="1" applyProtection="1">
      <alignment horizontal="right"/>
      <protection hidden="1"/>
    </xf>
    <xf numFmtId="9" fontId="135" fillId="64" borderId="36" xfId="15" applyFont="1" applyFill="1" applyBorder="1" applyAlignment="1" applyProtection="1">
      <alignment horizontal="center"/>
      <protection hidden="1"/>
    </xf>
    <xf numFmtId="0" fontId="107" fillId="0" borderId="37" xfId="13" applyFont="1" applyBorder="1" applyAlignment="1" applyProtection="1">
      <alignment horizontal="center"/>
      <protection hidden="1"/>
    </xf>
    <xf numFmtId="169" fontId="104" fillId="0" borderId="37" xfId="13" applyNumberFormat="1" applyFont="1" applyBorder="1" applyAlignment="1" applyProtection="1">
      <alignment horizontal="center"/>
      <protection hidden="1"/>
    </xf>
    <xf numFmtId="165" fontId="104" fillId="0" borderId="37" xfId="13" applyNumberFormat="1" applyFont="1" applyBorder="1" applyAlignment="1" applyProtection="1">
      <alignment horizontal="center"/>
      <protection hidden="1"/>
    </xf>
    <xf numFmtId="9" fontId="126" fillId="0" borderId="36" xfId="0" applyNumberFormat="1" applyFont="1" applyBorder="1" applyAlignment="1">
      <alignment horizontal="center"/>
    </xf>
    <xf numFmtId="9" fontId="126" fillId="61" borderId="36" xfId="64" applyFont="1" applyFill="1" applyBorder="1" applyAlignment="1">
      <alignment horizontal="center"/>
    </xf>
    <xf numFmtId="0" fontId="79" fillId="64" borderId="35" xfId="13" applyFont="1" applyFill="1" applyBorder="1" applyProtection="1">
      <protection hidden="1"/>
    </xf>
    <xf numFmtId="0" fontId="104" fillId="64" borderId="37" xfId="13" applyFont="1" applyFill="1" applyBorder="1" applyAlignment="1" applyProtection="1">
      <alignment horizontal="center"/>
      <protection hidden="1"/>
    </xf>
    <xf numFmtId="0" fontId="104" fillId="64" borderId="34" xfId="13" applyFont="1" applyFill="1" applyBorder="1" applyAlignment="1" applyProtection="1">
      <alignment horizontal="right"/>
      <protection hidden="1"/>
    </xf>
    <xf numFmtId="167" fontId="104" fillId="0" borderId="34" xfId="8" applyFont="1" applyFill="1" applyBorder="1" applyAlignment="1" applyProtection="1">
      <alignment horizontal="right"/>
      <protection hidden="1"/>
    </xf>
    <xf numFmtId="10" fontId="104" fillId="0" borderId="34" xfId="15" applyNumberFormat="1" applyFont="1" applyFill="1" applyBorder="1" applyAlignment="1" applyProtection="1">
      <alignment horizontal="right"/>
      <protection hidden="1"/>
    </xf>
    <xf numFmtId="10" fontId="104" fillId="64" borderId="34" xfId="15" applyNumberFormat="1" applyFont="1" applyFill="1" applyBorder="1" applyAlignment="1" applyProtection="1">
      <alignment horizontal="right"/>
      <protection hidden="1"/>
    </xf>
    <xf numFmtId="0" fontId="104" fillId="0" borderId="37" xfId="13" applyFont="1" applyBorder="1" applyProtection="1">
      <protection hidden="1"/>
    </xf>
    <xf numFmtId="169" fontId="105"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0" fontId="105" fillId="0" borderId="38" xfId="0" applyFont="1" applyBorder="1" applyAlignment="1">
      <alignment horizontal="right"/>
    </xf>
    <xf numFmtId="0" fontId="90" fillId="0" borderId="35" xfId="13" applyFont="1" applyBorder="1" applyProtection="1">
      <protection hidden="1"/>
    </xf>
    <xf numFmtId="169" fontId="103" fillId="0" borderId="37" xfId="13" applyNumberFormat="1" applyFont="1" applyBorder="1" applyProtection="1">
      <protection hidden="1"/>
    </xf>
    <xf numFmtId="169" fontId="103" fillId="0" borderId="34" xfId="13" applyNumberFormat="1" applyFont="1" applyBorder="1" applyAlignment="1" applyProtection="1">
      <alignment horizontal="right"/>
      <protection hidden="1"/>
    </xf>
    <xf numFmtId="2" fontId="120" fillId="63" borderId="35" xfId="13" applyNumberFormat="1" applyFont="1" applyFill="1" applyBorder="1" applyAlignment="1" applyProtection="1">
      <alignment horizontal="left" vertical="center" wrapText="1"/>
      <protection hidden="1"/>
    </xf>
    <xf numFmtId="174" fontId="88" fillId="0" borderId="38" xfId="0" applyNumberFormat="1" applyFont="1" applyBorder="1" applyAlignment="1">
      <alignment horizontal="center" vertical="center"/>
    </xf>
    <xf numFmtId="166" fontId="126" fillId="0" borderId="36" xfId="17" applyFont="1" applyBorder="1" applyAlignment="1">
      <alignment horizontal="center"/>
    </xf>
    <xf numFmtId="0" fontId="114" fillId="63" borderId="36" xfId="58" applyFont="1" applyFill="1" applyBorder="1" applyAlignment="1">
      <alignment horizontal="left" vertical="top" wrapText="1"/>
    </xf>
    <xf numFmtId="173" fontId="114" fillId="63" borderId="32" xfId="8" applyNumberFormat="1" applyFont="1" applyFill="1" applyBorder="1" applyAlignment="1">
      <alignment vertical="top" wrapText="1"/>
    </xf>
    <xf numFmtId="0" fontId="79" fillId="0" borderId="36" xfId="102" applyFont="1" applyBorder="1" applyAlignment="1">
      <alignment vertical="top" wrapText="1"/>
    </xf>
    <xf numFmtId="44" fontId="35" fillId="65" borderId="36" xfId="65" applyFont="1" applyFill="1" applyBorder="1" applyAlignment="1" applyProtection="1">
      <protection locked="0"/>
    </xf>
    <xf numFmtId="0" fontId="79" fillId="0" borderId="36" xfId="102" applyFont="1" applyBorder="1" applyAlignment="1">
      <alignment vertical="top"/>
    </xf>
    <xf numFmtId="2" fontId="114" fillId="63" borderId="32" xfId="83" applyNumberFormat="1" applyFont="1" applyFill="1" applyBorder="1" applyAlignment="1">
      <alignment horizontal="left" vertical="top" wrapText="1"/>
    </xf>
    <xf numFmtId="2" fontId="114" fillId="63" borderId="32" xfId="83" applyNumberFormat="1" applyFont="1" applyFill="1" applyBorder="1" applyAlignment="1">
      <alignment vertical="top" wrapText="1"/>
    </xf>
    <xf numFmtId="3" fontId="126" fillId="2" borderId="37" xfId="8" applyNumberFormat="1" applyFont="1" applyFill="1" applyBorder="1" applyAlignment="1">
      <alignment horizontal="center" vertical="top" wrapText="1"/>
    </xf>
    <xf numFmtId="2" fontId="126" fillId="2" borderId="34" xfId="83" applyNumberFormat="1" applyFont="1" applyFill="1" applyBorder="1" applyAlignment="1">
      <alignment vertical="top" wrapText="1"/>
    </xf>
    <xf numFmtId="179" fontId="126" fillId="2" borderId="35" xfId="83" applyNumberFormat="1" applyFont="1" applyFill="1" applyBorder="1" applyAlignment="1">
      <alignment vertical="top" wrapText="1"/>
    </xf>
    <xf numFmtId="2" fontId="126" fillId="2" borderId="37" xfId="83" applyNumberFormat="1" applyFont="1" applyFill="1" applyBorder="1" applyAlignment="1">
      <alignment vertical="top" wrapText="1"/>
    </xf>
    <xf numFmtId="179" fontId="126" fillId="2" borderId="34" xfId="83" applyNumberFormat="1" applyFont="1" applyFill="1" applyBorder="1" applyAlignment="1">
      <alignment vertical="top" wrapText="1"/>
    </xf>
    <xf numFmtId="3" fontId="79" fillId="0" borderId="36" xfId="8" applyNumberFormat="1" applyFont="1" applyFill="1" applyBorder="1" applyAlignment="1">
      <alignment horizontal="center" vertical="top" wrapText="1"/>
    </xf>
    <xf numFmtId="166" fontId="79" fillId="0" borderId="36" xfId="17" applyFont="1" applyBorder="1" applyAlignment="1">
      <alignment horizontal="center" vertical="top" wrapText="1"/>
    </xf>
    <xf numFmtId="44" fontId="79" fillId="0" borderId="36" xfId="65" applyFont="1" applyBorder="1" applyAlignment="1">
      <alignment vertical="top" wrapText="1"/>
    </xf>
    <xf numFmtId="49" fontId="79" fillId="0" borderId="36" xfId="102" applyNumberFormat="1" applyFont="1" applyBorder="1" applyAlignment="1">
      <alignment horizontal="center" vertical="top" wrapText="1"/>
    </xf>
    <xf numFmtId="3" fontId="35" fillId="2" borderId="36" xfId="8" applyNumberFormat="1" applyFont="1" applyFill="1" applyBorder="1" applyAlignment="1">
      <alignment horizontal="center"/>
    </xf>
    <xf numFmtId="3" fontId="126" fillId="2" borderId="36" xfId="8" applyNumberFormat="1" applyFont="1" applyFill="1" applyBorder="1" applyAlignment="1">
      <alignment horizontal="center"/>
    </xf>
    <xf numFmtId="4" fontId="35" fillId="2" borderId="36" xfId="8" applyNumberFormat="1" applyFont="1" applyFill="1" applyBorder="1" applyAlignment="1">
      <alignment horizontal="center"/>
    </xf>
    <xf numFmtId="4" fontId="126" fillId="2" borderId="36" xfId="8" applyNumberFormat="1" applyFont="1" applyFill="1" applyBorder="1" applyAlignment="1">
      <alignment horizontal="center"/>
    </xf>
    <xf numFmtId="0" fontId="8" fillId="0" borderId="0" xfId="0" applyFont="1"/>
    <xf numFmtId="9" fontId="79" fillId="0" borderId="0" xfId="0" applyNumberFormat="1" applyFont="1"/>
    <xf numFmtId="166" fontId="79" fillId="0" borderId="0" xfId="17" applyFont="1"/>
    <xf numFmtId="9" fontId="79" fillId="0" borderId="0" xfId="15" applyFont="1"/>
    <xf numFmtId="44" fontId="79" fillId="0" borderId="0" xfId="0" applyNumberFormat="1" applyFont="1"/>
    <xf numFmtId="49" fontId="78" fillId="65" borderId="36" xfId="9" applyNumberFormat="1" applyFont="1" applyFill="1" applyBorder="1" applyAlignment="1" applyProtection="1">
      <alignment horizontal="left" vertical="top"/>
      <protection hidden="1"/>
    </xf>
    <xf numFmtId="0" fontId="81" fillId="64" borderId="36" xfId="13" applyFont="1" applyFill="1" applyBorder="1" applyProtection="1">
      <protection hidden="1"/>
    </xf>
    <xf numFmtId="166" fontId="35" fillId="0" borderId="36" xfId="17" applyFont="1" applyFill="1" applyBorder="1" applyAlignment="1" applyProtection="1">
      <protection hidden="1"/>
    </xf>
    <xf numFmtId="166" fontId="135" fillId="2" borderId="36" xfId="17" applyFont="1" applyFill="1" applyBorder="1" applyAlignment="1" applyProtection="1">
      <alignment horizontal="center"/>
      <protection hidden="1"/>
    </xf>
    <xf numFmtId="9" fontId="128" fillId="64" borderId="36" xfId="15" applyFont="1" applyFill="1" applyBorder="1" applyAlignment="1" applyProtection="1">
      <alignment horizontal="center"/>
      <protection hidden="1"/>
    </xf>
    <xf numFmtId="9" fontId="132" fillId="64" borderId="36" xfId="15" applyFont="1" applyFill="1" applyBorder="1" applyAlignment="1" applyProtection="1">
      <alignment horizontal="center"/>
      <protection hidden="1"/>
    </xf>
    <xf numFmtId="173" fontId="82" fillId="0" borderId="0" xfId="8" applyNumberFormat="1" applyFont="1" applyAlignment="1">
      <alignment horizontal="left"/>
    </xf>
    <xf numFmtId="173" fontId="82" fillId="0" borderId="0" xfId="8" applyNumberFormat="1" applyFont="1" applyAlignment="1">
      <alignment horizontal="left" vertical="top"/>
    </xf>
    <xf numFmtId="179" fontId="78" fillId="65" borderId="36" xfId="17" applyNumberFormat="1" applyFont="1" applyFill="1" applyBorder="1" applyAlignment="1" applyProtection="1">
      <alignment horizontal="left" vertical="top"/>
      <protection hidden="1"/>
    </xf>
    <xf numFmtId="10" fontId="132" fillId="64" borderId="36" xfId="15" applyNumberFormat="1" applyFont="1" applyFill="1" applyBorder="1" applyAlignment="1" applyProtection="1">
      <alignment horizontal="center"/>
      <protection hidden="1"/>
    </xf>
    <xf numFmtId="0" fontId="81" fillId="2" borderId="35" xfId="83" applyFont="1" applyFill="1" applyBorder="1" applyAlignment="1">
      <alignment vertical="top" wrapText="1"/>
    </xf>
    <xf numFmtId="0" fontId="81" fillId="2" borderId="34" xfId="83" applyFont="1" applyFill="1" applyBorder="1" applyAlignment="1">
      <alignment vertical="top" wrapText="1"/>
    </xf>
    <xf numFmtId="0" fontId="81" fillId="2" borderId="37" xfId="83" applyFont="1" applyFill="1" applyBorder="1" applyAlignment="1">
      <alignment vertical="top" wrapText="1"/>
    </xf>
    <xf numFmtId="49" fontId="79" fillId="0" borderId="36" xfId="0" applyNumberFormat="1" applyFont="1" applyBorder="1"/>
    <xf numFmtId="49" fontId="79" fillId="0" borderId="0" xfId="0" applyNumberFormat="1" applyFont="1"/>
    <xf numFmtId="0" fontId="92" fillId="0" borderId="0" xfId="13" applyFont="1" applyProtection="1">
      <protection hidden="1"/>
    </xf>
    <xf numFmtId="174" fontId="79" fillId="0" borderId="0" xfId="0" applyNumberFormat="1" applyFont="1"/>
    <xf numFmtId="0" fontId="79" fillId="0" borderId="36" xfId="8" applyNumberFormat="1" applyFont="1" applyBorder="1"/>
    <xf numFmtId="0" fontId="79" fillId="0" borderId="36" xfId="88" applyFont="1" applyBorder="1"/>
    <xf numFmtId="0" fontId="79" fillId="0" borderId="0" xfId="0" quotePrefix="1" applyFont="1"/>
    <xf numFmtId="0" fontId="145" fillId="0" borderId="0" xfId="52888"/>
    <xf numFmtId="0" fontId="146" fillId="2" borderId="0" xfId="52886" applyFont="1" applyFill="1" applyAlignment="1">
      <alignment horizontal="left" vertical="top" wrapText="1"/>
    </xf>
    <xf numFmtId="0" fontId="8" fillId="2" borderId="0" xfId="52887" applyFill="1" applyAlignment="1">
      <alignment vertical="top" wrapText="1"/>
    </xf>
    <xf numFmtId="0" fontId="8" fillId="0" borderId="0" xfId="52889" applyAlignment="1">
      <alignment vertical="top" wrapText="1"/>
    </xf>
    <xf numFmtId="0" fontId="6" fillId="2" borderId="0" xfId="52886" applyFill="1" applyAlignment="1">
      <alignment vertical="top" wrapText="1"/>
    </xf>
    <xf numFmtId="166" fontId="81" fillId="0" borderId="36" xfId="88" applyNumberFormat="1" applyFont="1" applyBorder="1"/>
    <xf numFmtId="43" fontId="131" fillId="0" borderId="34" xfId="8" applyNumberFormat="1" applyFont="1" applyFill="1" applyBorder="1" applyAlignment="1">
      <alignment horizontal="center"/>
    </xf>
    <xf numFmtId="44" fontId="79" fillId="0" borderId="0" xfId="88" applyNumberFormat="1" applyFont="1"/>
    <xf numFmtId="2" fontId="126" fillId="0" borderId="0" xfId="0" applyNumberFormat="1" applyFont="1" applyAlignment="1">
      <alignment horizontal="left"/>
    </xf>
    <xf numFmtId="2" fontId="129" fillId="0" borderId="0" xfId="0" applyNumberFormat="1" applyFont="1" applyAlignment="1">
      <alignment horizontal="left"/>
    </xf>
    <xf numFmtId="2" fontId="134" fillId="0" borderId="0" xfId="12" applyNumberFormat="1" applyFont="1" applyAlignment="1">
      <alignment horizontal="left"/>
    </xf>
    <xf numFmtId="0" fontId="81" fillId="64" borderId="36" xfId="13" applyFont="1" applyFill="1" applyBorder="1" applyAlignment="1" applyProtection="1">
      <alignment vertical="top"/>
      <protection hidden="1"/>
    </xf>
    <xf numFmtId="0" fontId="79" fillId="0" borderId="0" xfId="0" applyFont="1" applyAlignment="1">
      <alignment vertical="top"/>
    </xf>
    <xf numFmtId="0" fontId="65" fillId="0" borderId="0" xfId="0" applyFont="1" applyAlignment="1">
      <alignment vertical="top"/>
    </xf>
    <xf numFmtId="0" fontId="79" fillId="0" borderId="0" xfId="13" applyFont="1" applyAlignment="1" applyProtection="1">
      <alignment vertical="top"/>
      <protection hidden="1"/>
    </xf>
    <xf numFmtId="0" fontId="79" fillId="2" borderId="35" xfId="10" applyFont="1" applyFill="1" applyBorder="1" applyAlignment="1">
      <alignment vertical="top"/>
    </xf>
    <xf numFmtId="44" fontId="79" fillId="35" borderId="37" xfId="65" applyFont="1" applyFill="1" applyBorder="1" applyAlignment="1" applyProtection="1">
      <alignment vertical="top"/>
      <protection locked="0"/>
    </xf>
    <xf numFmtId="44" fontId="79" fillId="35" borderId="34" xfId="65" applyFont="1" applyFill="1" applyBorder="1" applyAlignment="1" applyProtection="1">
      <alignment vertical="top"/>
      <protection locked="0"/>
    </xf>
    <xf numFmtId="44" fontId="35" fillId="65" borderId="34" xfId="65" applyFont="1" applyFill="1" applyBorder="1" applyAlignment="1" applyProtection="1">
      <alignment vertical="top"/>
      <protection locked="0"/>
    </xf>
    <xf numFmtId="2" fontId="76" fillId="0" borderId="0" xfId="12" applyNumberFormat="1" applyFont="1" applyAlignment="1">
      <alignment vertical="top"/>
    </xf>
    <xf numFmtId="2" fontId="77" fillId="0" borderId="0" xfId="62" applyNumberFormat="1" applyFont="1" applyAlignment="1">
      <alignment vertical="top"/>
    </xf>
    <xf numFmtId="0" fontId="68" fillId="0" borderId="0" xfId="0" applyFont="1" applyAlignment="1">
      <alignment vertical="top" wrapText="1"/>
    </xf>
    <xf numFmtId="14" fontId="130" fillId="0" borderId="0" xfId="62" applyNumberFormat="1" applyFont="1" applyAlignment="1">
      <alignment horizontal="left" vertical="top"/>
    </xf>
    <xf numFmtId="0" fontId="85" fillId="0" borderId="36" xfId="0" applyFont="1" applyBorder="1" applyAlignment="1">
      <alignment vertical="top"/>
    </xf>
    <xf numFmtId="0" fontId="79" fillId="0" borderId="36" xfId="0" applyFont="1" applyBorder="1" applyAlignment="1">
      <alignment vertical="top"/>
    </xf>
    <xf numFmtId="0" fontId="35" fillId="0" borderId="36" xfId="0" applyFont="1" applyBorder="1" applyAlignment="1">
      <alignment horizontal="center" vertical="top"/>
    </xf>
    <xf numFmtId="3" fontId="135" fillId="64" borderId="36" xfId="61" applyNumberFormat="1" applyFont="1" applyFill="1" applyBorder="1" applyAlignment="1" applyProtection="1">
      <alignment horizontal="center" vertical="top"/>
      <protection hidden="1"/>
    </xf>
    <xf numFmtId="167" fontId="35" fillId="0" borderId="36" xfId="8" applyFont="1" applyBorder="1" applyAlignment="1">
      <alignment vertical="top"/>
    </xf>
    <xf numFmtId="44" fontId="135" fillId="35" borderId="36" xfId="65" applyFont="1" applyFill="1" applyBorder="1" applyAlignment="1" applyProtection="1">
      <alignment vertical="top"/>
      <protection locked="0"/>
    </xf>
    <xf numFmtId="166" fontId="35" fillId="0" borderId="36" xfId="17" applyFont="1" applyBorder="1" applyAlignment="1">
      <alignment vertical="top"/>
    </xf>
    <xf numFmtId="0" fontId="85" fillId="0" borderId="0" xfId="0" applyFont="1" applyAlignment="1">
      <alignment vertical="top"/>
    </xf>
    <xf numFmtId="0" fontId="79" fillId="0" borderId="0" xfId="0" applyFont="1" applyAlignment="1">
      <alignment horizontal="center" vertical="top"/>
    </xf>
    <xf numFmtId="0" fontId="79" fillId="0" borderId="2" xfId="0" applyFont="1" applyBorder="1" applyAlignment="1">
      <alignment horizontal="center" vertical="top"/>
    </xf>
    <xf numFmtId="0" fontId="79" fillId="0" borderId="6" xfId="0" applyFont="1" applyBorder="1" applyAlignment="1">
      <alignment horizontal="center" vertical="top"/>
    </xf>
    <xf numFmtId="166" fontId="35" fillId="0" borderId="36" xfId="17" applyFont="1" applyFill="1" applyBorder="1" applyAlignment="1">
      <alignment vertical="top"/>
    </xf>
    <xf numFmtId="166" fontId="35" fillId="64" borderId="36" xfId="17" applyFont="1" applyFill="1" applyBorder="1" applyAlignment="1">
      <alignment vertical="top"/>
    </xf>
    <xf numFmtId="0" fontId="35" fillId="0" borderId="0" xfId="0" applyFont="1" applyAlignment="1">
      <alignment vertical="top"/>
    </xf>
    <xf numFmtId="0" fontId="81" fillId="0" borderId="35" xfId="0" applyFont="1" applyBorder="1" applyAlignment="1">
      <alignment vertical="top"/>
    </xf>
    <xf numFmtId="0" fontId="81" fillId="0" borderId="37" xfId="0" applyFont="1" applyBorder="1" applyAlignment="1">
      <alignment vertical="top"/>
    </xf>
    <xf numFmtId="167" fontId="126" fillId="0" borderId="36" xfId="8" applyFont="1" applyBorder="1" applyAlignment="1">
      <alignment vertical="top"/>
    </xf>
    <xf numFmtId="166" fontId="126" fillId="0" borderId="36" xfId="17" applyFont="1" applyBorder="1" applyAlignment="1">
      <alignment vertical="top"/>
    </xf>
    <xf numFmtId="0" fontId="70" fillId="0" borderId="0" xfId="0" applyFont="1" applyAlignment="1">
      <alignment vertical="top"/>
    </xf>
    <xf numFmtId="0" fontId="85" fillId="2" borderId="36" xfId="0" applyFont="1" applyFill="1" applyBorder="1" applyAlignment="1">
      <alignment horizontal="left" vertical="center"/>
    </xf>
    <xf numFmtId="0" fontId="79" fillId="0" borderId="36" xfId="0" applyFont="1" applyBorder="1" applyAlignment="1">
      <alignment horizontal="center"/>
    </xf>
    <xf numFmtId="3" fontId="35" fillId="0" borderId="36" xfId="8" applyNumberFormat="1" applyFont="1" applyFill="1" applyBorder="1" applyAlignment="1">
      <alignment horizontal="center"/>
    </xf>
    <xf numFmtId="1" fontId="126" fillId="0" borderId="36" xfId="8" applyNumberFormat="1" applyFont="1" applyFill="1" applyBorder="1" applyAlignment="1">
      <alignment horizontal="center"/>
    </xf>
    <xf numFmtId="4" fontId="35" fillId="0" borderId="36" xfId="8" applyNumberFormat="1" applyFont="1" applyFill="1" applyBorder="1" applyAlignment="1">
      <alignment horizontal="center"/>
    </xf>
    <xf numFmtId="173" fontId="81" fillId="0" borderId="0" xfId="8" applyNumberFormat="1" applyFont="1" applyFill="1" applyAlignment="1">
      <alignment horizontal="center"/>
    </xf>
    <xf numFmtId="166" fontId="79" fillId="0" borderId="36" xfId="17" applyFont="1" applyFill="1" applyBorder="1" applyAlignment="1">
      <alignment horizontal="right"/>
    </xf>
    <xf numFmtId="166" fontId="79" fillId="0" borderId="36" xfId="17" applyFont="1" applyFill="1" applyBorder="1" applyAlignment="1">
      <alignment horizontal="center"/>
    </xf>
    <xf numFmtId="166" fontId="35" fillId="0" borderId="36" xfId="17" applyFont="1" applyFill="1" applyBorder="1" applyAlignment="1">
      <alignment horizontal="center"/>
    </xf>
    <xf numFmtId="0" fontId="120" fillId="63" borderId="35" xfId="9" applyFont="1" applyFill="1" applyBorder="1" applyAlignment="1" applyProtection="1">
      <alignment vertical="top" wrapText="1"/>
      <protection hidden="1"/>
    </xf>
    <xf numFmtId="0" fontId="92" fillId="63" borderId="37" xfId="10" applyFont="1" applyFill="1" applyBorder="1" applyAlignment="1">
      <alignment vertical="top" wrapText="1"/>
    </xf>
    <xf numFmtId="0" fontId="145" fillId="0" borderId="0" xfId="52888" applyAlignment="1">
      <alignment vertical="top" wrapText="1"/>
    </xf>
    <xf numFmtId="0" fontId="79" fillId="0" borderId="36" xfId="10" applyFont="1" applyBorder="1" applyAlignment="1">
      <alignment vertical="top" wrapText="1"/>
    </xf>
    <xf numFmtId="178" fontId="142" fillId="64" borderId="36" xfId="10" applyNumberFormat="1" applyFont="1" applyFill="1" applyBorder="1" applyAlignment="1">
      <alignment vertical="top" wrapText="1"/>
    </xf>
    <xf numFmtId="0" fontId="92" fillId="63" borderId="34" xfId="10" applyFont="1" applyFill="1" applyBorder="1" applyAlignment="1">
      <alignment vertical="top" wrapText="1"/>
    </xf>
    <xf numFmtId="0" fontId="84" fillId="0" borderId="0" xfId="9" applyFont="1" applyAlignment="1" applyProtection="1">
      <alignment vertical="top" wrapText="1"/>
      <protection hidden="1"/>
    </xf>
    <xf numFmtId="0" fontId="105" fillId="0" borderId="0" xfId="10" applyFont="1" applyAlignment="1">
      <alignment vertical="top" wrapText="1"/>
    </xf>
    <xf numFmtId="0" fontId="79" fillId="0" borderId="0" xfId="10" applyFont="1" applyAlignment="1">
      <alignment vertical="top" wrapText="1"/>
    </xf>
    <xf numFmtId="3" fontId="149" fillId="64" borderId="36" xfId="61" applyNumberFormat="1" applyFont="1" applyFill="1" applyBorder="1" applyAlignment="1" applyProtection="1">
      <alignment horizontal="center" vertical="top"/>
      <protection hidden="1"/>
    </xf>
    <xf numFmtId="0" fontId="79" fillId="0" borderId="0" xfId="13" applyFont="1" applyAlignment="1" applyProtection="1">
      <alignment horizontal="left"/>
      <protection hidden="1"/>
    </xf>
    <xf numFmtId="1" fontId="126" fillId="0" borderId="36" xfId="8" applyNumberFormat="1" applyFont="1" applyBorder="1" applyAlignment="1">
      <alignment horizontal="center"/>
    </xf>
    <xf numFmtId="166" fontId="126" fillId="2" borderId="36" xfId="17" applyFont="1" applyFill="1" applyBorder="1" applyAlignment="1">
      <alignment horizontal="center"/>
    </xf>
    <xf numFmtId="166" fontId="126" fillId="0" borderId="36" xfId="17" applyFont="1" applyFill="1" applyBorder="1" applyAlignment="1">
      <alignment horizontal="center"/>
    </xf>
    <xf numFmtId="2" fontId="114" fillId="63" borderId="35" xfId="0" applyNumberFormat="1" applyFont="1" applyFill="1" applyBorder="1" applyAlignment="1">
      <alignment horizontal="center" vertical="center" wrapText="1"/>
    </xf>
    <xf numFmtId="2" fontId="114" fillId="63" borderId="37" xfId="0" applyNumberFormat="1" applyFont="1" applyFill="1" applyBorder="1" applyAlignment="1">
      <alignment horizontal="center" vertical="center" wrapText="1"/>
    </xf>
    <xf numFmtId="49" fontId="114" fillId="63" borderId="35" xfId="62" applyNumberFormat="1" applyFont="1" applyFill="1" applyBorder="1" applyAlignment="1">
      <alignment horizontal="left" vertical="top" wrapText="1"/>
    </xf>
    <xf numFmtId="49" fontId="114" fillId="62" borderId="37" xfId="62" applyNumberFormat="1" applyFont="1" applyFill="1" applyBorder="1" applyAlignment="1">
      <alignment horizontal="left" vertical="top" wrapText="1"/>
    </xf>
    <xf numFmtId="49" fontId="114" fillId="62" borderId="34" xfId="62" applyNumberFormat="1" applyFont="1" applyFill="1" applyBorder="1" applyAlignment="1">
      <alignment horizontal="left" vertical="top" wrapText="1"/>
    </xf>
    <xf numFmtId="0" fontId="79" fillId="0" borderId="35" xfId="0" applyFont="1" applyBorder="1" applyAlignment="1">
      <alignment horizontal="left"/>
    </xf>
    <xf numFmtId="0" fontId="79" fillId="0" borderId="34" xfId="0" applyFont="1" applyBorder="1" applyAlignment="1">
      <alignment horizontal="left"/>
    </xf>
    <xf numFmtId="0" fontId="81" fillId="0" borderId="35" xfId="13" applyFont="1" applyBorder="1" applyAlignment="1" applyProtection="1">
      <alignment horizontal="left" vertical="center"/>
      <protection hidden="1"/>
    </xf>
    <xf numFmtId="0" fontId="81" fillId="0" borderId="34" xfId="13" applyFont="1" applyBorder="1" applyAlignment="1" applyProtection="1">
      <alignment horizontal="left" vertical="center"/>
      <protection hidden="1"/>
    </xf>
    <xf numFmtId="2" fontId="122" fillId="63" borderId="36" xfId="13" applyNumberFormat="1" applyFont="1" applyFill="1" applyBorder="1" applyAlignment="1" applyProtection="1">
      <alignment horizontal="center" vertical="center" wrapText="1"/>
      <protection hidden="1"/>
    </xf>
    <xf numFmtId="2" fontId="122" fillId="62" borderId="36" xfId="13" applyNumberFormat="1" applyFont="1" applyFill="1" applyBorder="1" applyAlignment="1" applyProtection="1">
      <alignment horizontal="center" vertical="center" wrapText="1"/>
      <protection hidden="1"/>
    </xf>
    <xf numFmtId="2" fontId="122" fillId="63" borderId="35" xfId="3" applyNumberFormat="1" applyFont="1" applyFill="1" applyBorder="1" applyAlignment="1" applyProtection="1">
      <alignment horizontal="center" vertical="center" wrapText="1"/>
      <protection hidden="1"/>
    </xf>
    <xf numFmtId="0" fontId="114" fillId="62" borderId="34" xfId="0" applyFont="1" applyFill="1" applyBorder="1" applyAlignment="1">
      <alignment horizontal="center" vertical="center" wrapText="1"/>
    </xf>
    <xf numFmtId="0" fontId="79" fillId="0" borderId="0" xfId="0" applyFont="1" applyAlignment="1">
      <alignment horizontal="left" vertical="top" wrapText="1"/>
    </xf>
    <xf numFmtId="2" fontId="122" fillId="63" borderId="35" xfId="13" applyNumberFormat="1" applyFont="1" applyFill="1" applyBorder="1" applyAlignment="1" applyProtection="1">
      <alignment horizontal="center" vertical="center" wrapText="1"/>
      <protection hidden="1"/>
    </xf>
    <xf numFmtId="2" fontId="122" fillId="62" borderId="37" xfId="13" applyNumberFormat="1" applyFont="1" applyFill="1" applyBorder="1" applyAlignment="1" applyProtection="1">
      <alignment horizontal="center" vertical="center" wrapText="1"/>
      <protection hidden="1"/>
    </xf>
    <xf numFmtId="2" fontId="122" fillId="62" borderId="34" xfId="13" applyNumberFormat="1" applyFont="1" applyFill="1" applyBorder="1" applyAlignment="1" applyProtection="1">
      <alignment horizontal="center" vertical="center" wrapText="1"/>
      <protection hidden="1"/>
    </xf>
    <xf numFmtId="2" fontId="122" fillId="63" borderId="37" xfId="13" applyNumberFormat="1" applyFont="1" applyFill="1" applyBorder="1" applyAlignment="1" applyProtection="1">
      <alignment horizontal="center" vertical="center" wrapText="1"/>
      <protection hidden="1"/>
    </xf>
    <xf numFmtId="2" fontId="122" fillId="63" borderId="34" xfId="13" applyNumberFormat="1" applyFont="1" applyFill="1" applyBorder="1" applyAlignment="1" applyProtection="1">
      <alignment horizontal="center" vertical="center" wrapText="1"/>
      <protection hidden="1"/>
    </xf>
    <xf numFmtId="0" fontId="147" fillId="2" borderId="0" xfId="52888" applyFont="1" applyFill="1" applyAlignment="1">
      <alignment horizontal="center" vertical="top" wrapText="1"/>
    </xf>
    <xf numFmtId="0" fontId="79" fillId="0" borderId="39" xfId="83" applyFont="1" applyBorder="1" applyAlignment="1">
      <alignment horizontal="left"/>
    </xf>
    <xf numFmtId="0" fontId="79" fillId="0" borderId="0" xfId="83" applyFont="1" applyAlignment="1">
      <alignment horizontal="left"/>
    </xf>
  </cellXfs>
  <cellStyles count="52892">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15" xfId="52885" xr:uid="{262DE1BD-E4F5-4D00-9D9E-A383AC796E2C}"/>
    <cellStyle name="Standaard 16" xfId="52891" xr:uid="{EC078567-8247-4DB3-ADE5-F6133F0EB7A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2 3" xfId="52886" xr:uid="{74D1439B-C446-4173-B473-76CE9C2BFF2D}"/>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3 6" xfId="52888" xr:uid="{4EDDA55B-F1ED-4B7C-B79F-5027BDD9A79F}"/>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6 3" xfId="52889" xr:uid="{2F98A37E-75AF-48AB-893F-C240732AFF13}"/>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Standaard_ruimtestaat" xfId="52887" xr:uid="{E73CA2E9-D7F3-4719-A61E-19773161B169}"/>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3 4" xfId="52890" xr:uid="{FC6E0032-9E23-4204-B535-D6372D629AFB}"/>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E8E2D3"/>
      <color rgb="FF9FD2DF"/>
      <color rgb="FF324091"/>
      <color rgb="FF0A4983"/>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52</xdr:row>
      <xdr:rowOff>95250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0599"/>
          <a:ext cx="11169015" cy="7677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inschrijvingsbedrag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a:t>
          </a:r>
          <a:r>
            <a:rPr lang="nl-NL" sz="11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Uurtarieven</a:t>
          </a:r>
        </a:p>
        <a:p>
          <a:pPr marL="0" indent="0"/>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100" b="0">
              <a:solidFill>
                <a:schemeClr val="dk1"/>
              </a:solidFill>
              <a:effectLst/>
              <a:latin typeface="Georgia" panose="02040502050405020303" pitchFamily="18" charset="0"/>
              <a:ea typeface="+mn-ea"/>
              <a:cs typeface="+mn-cs"/>
            </a:rPr>
            <a:t> </a:t>
          </a:r>
        </a:p>
        <a:p>
          <a:pPr marL="0" indent="0"/>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lvl="0" indent="0"/>
          <a:endParaRPr lang="nl-NL" sz="1100" b="1">
            <a:solidFill>
              <a:schemeClr val="dk1"/>
            </a:solidFill>
            <a:effectLst/>
            <a:latin typeface="Georgia" panose="02040502050405020303" pitchFamily="18" charset="0"/>
            <a:ea typeface="+mn-ea"/>
            <a:cs typeface="+mn-cs"/>
          </a:endParaRPr>
        </a:p>
        <a:p>
          <a:pPr marL="0" lvl="0" indent="0"/>
          <a:r>
            <a:rPr lang="nl-NL" sz="1100" b="1">
              <a:solidFill>
                <a:schemeClr val="dk1"/>
              </a:solidFill>
              <a:effectLst/>
              <a:latin typeface="Georgia" panose="02040502050405020303" pitchFamily="18" charset="0"/>
              <a:ea typeface="+mn-ea"/>
              <a:cs typeface="+mn-cs"/>
            </a:rPr>
            <a:t>Machinekosten</a:t>
          </a:r>
          <a:r>
            <a:rPr lang="nl-NL" sz="1100" b="1">
              <a:solidFill>
                <a:sysClr val="windowText" lastClr="000000"/>
              </a:solidFill>
              <a:effectLst/>
              <a:latin typeface="Georgia" panose="02040502050405020303" pitchFamily="18" charset="0"/>
              <a:ea typeface="+mn-ea"/>
              <a:cs typeface="+mn-cs"/>
            </a:rPr>
            <a:t>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219075</xdr:colOff>
      <xdr:row>32</xdr:row>
      <xdr:rowOff>11430</xdr:rowOff>
    </xdr:from>
    <xdr:to>
      <xdr:col>8</xdr:col>
      <xdr:colOff>112395</xdr:colOff>
      <xdr:row>39</xdr:row>
      <xdr:rowOff>78441</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3604" y="6353959"/>
          <a:ext cx="3591262" cy="12436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4</xdr:row>
      <xdr:rowOff>21167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659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20ATIR%20Werkdocumenten\%20%20ATIR%20in%20%20behandeling\Tarieven%202004\atir.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egevens/Excel/Calc/AZR/AZR%20psychiatrie.xls" TargetMode="External"/><Relationship Id="rId1" Type="http://schemas.openxmlformats.org/officeDocument/2006/relationships/externalLinkPath" Target="/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alculatie\BEHANDEL\03241\HD%20ErikZkH%20hilversum%202000%20bewerk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esterveld\Calculatie\BEHANDEL\16220\16220%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Mutatieverloop"/>
      <sheetName val="Mutatielijst (Financieel)"/>
      <sheetName val="Voorblad"/>
      <sheetName val="1.1a-Contractblad Perceel 1"/>
      <sheetName val="1.1b-Contractblad Perceel 2"/>
      <sheetName val="1.1a-Jaarprijzen"/>
      <sheetName val="1.2-Kengetal"/>
      <sheetName val="1.3-Basis ruimtestaat"/>
      <sheetName val="1.4-Premies en opslagen"/>
      <sheetName val="1.4a-Opbouw uurtarieven"/>
      <sheetName val="1.5-Machine-investeringskosten"/>
      <sheetName val="1.6-Afroepprijs"/>
    </sheetNames>
    <sheetDataSet>
      <sheetData sheetId="0"/>
      <sheetData sheetId="1"/>
      <sheetData sheetId="2"/>
      <sheetData sheetId="3"/>
      <sheetData sheetId="4">
        <row r="10">
          <cell r="B10" t="str">
            <v>Perceel 4</v>
          </cell>
        </row>
      </sheetData>
      <sheetData sheetId="5">
        <row r="9">
          <cell r="B9" t="str">
            <v>Perceel 5</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zoomScaleNormal="100" workbookViewId="0">
      <pane ySplit="4" topLeftCell="A5" activePane="bottomLeft" state="frozen"/>
      <selection pane="bottomLeft"/>
    </sheetView>
  </sheetViews>
  <sheetFormatPr defaultRowHeight="13"/>
  <cols>
    <col min="1" max="1" width="27.7265625" customWidth="1"/>
  </cols>
  <sheetData>
    <row r="1" spans="1:13" ht="15.5">
      <c r="A1" s="37" t="s">
        <v>0</v>
      </c>
      <c r="B1" s="38" t="str">
        <f>'2-Kosten per locatie'!B3</f>
        <v>Zaan Primair</v>
      </c>
    </row>
    <row r="2" spans="1:13" ht="15.5">
      <c r="A2" s="37" t="s">
        <v>1</v>
      </c>
      <c r="B2" s="38" t="str">
        <f ca="1">MID(CELL("bestandsnaam",$B$11),SEARCH("]",CELL("bestandsnaam",$B$11),1)+1,256)</f>
        <v>1-Uitgangspunten</v>
      </c>
    </row>
    <row r="3" spans="1:13" ht="15.5">
      <c r="A3" s="37" t="s">
        <v>2</v>
      </c>
      <c r="B3" s="38" t="str">
        <f>'2-Kosten per locatie'!B5</f>
        <v>Divers</v>
      </c>
    </row>
    <row r="4" spans="1:13" ht="15.5">
      <c r="A4" s="37" t="s">
        <v>3</v>
      </c>
      <c r="B4" s="38" t="str">
        <f>'2-Kosten per locatie'!B6</f>
        <v>Perceel 1 (Noordelijk gebied)</v>
      </c>
      <c r="G4" s="36"/>
      <c r="H4" s="36"/>
      <c r="I4" s="36"/>
      <c r="J4" s="36"/>
      <c r="K4" s="36"/>
      <c r="L4" s="36"/>
      <c r="M4" s="36"/>
    </row>
  </sheetData>
  <pageMargins left="0.7" right="0.7" top="0.75" bottom="0.75" header="0.3" footer="0.3"/>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AA96"/>
  <sheetViews>
    <sheetView showGridLines="0" zoomScale="85" zoomScaleNormal="85" zoomScaleSheetLayoutView="50" zoomScalePageLayoutView="50" workbookViewId="0"/>
  </sheetViews>
  <sheetFormatPr defaultColWidth="13.7265625" defaultRowHeight="13"/>
  <cols>
    <col min="1" max="1" width="46.1796875" style="155" customWidth="1"/>
    <col min="2" max="2" width="38.26953125" style="156" customWidth="1"/>
    <col min="3" max="3" width="38" style="156" bestFit="1" customWidth="1"/>
    <col min="4" max="4" width="32.54296875" style="156" customWidth="1"/>
    <col min="5" max="5" width="12.1796875" style="155" customWidth="1"/>
    <col min="6" max="6" width="30.7265625" style="157" customWidth="1"/>
    <col min="7" max="7" width="18.6328125" style="158" customWidth="1"/>
    <col min="8" max="8" width="13.7265625" style="157" customWidth="1"/>
    <col min="9" max="9" width="15.81640625" style="157" customWidth="1"/>
    <col min="10" max="10" width="22.7265625" style="27" customWidth="1"/>
    <col min="11" max="11" width="13.7265625" style="27"/>
    <col min="12" max="12" width="8.81640625" style="27" customWidth="1"/>
    <col min="13" max="248" width="13.7265625" style="27"/>
    <col min="249" max="249" width="22.1796875" style="27" customWidth="1"/>
    <col min="250" max="256" width="13.7265625" style="27" customWidth="1"/>
    <col min="257" max="257" width="15.81640625" style="27" customWidth="1"/>
    <col min="258" max="258" width="16.54296875" style="27" bestFit="1" customWidth="1"/>
    <col min="259" max="259" width="13.7265625" style="27" customWidth="1"/>
    <col min="260" max="260" width="17.1796875" style="27" bestFit="1" customWidth="1"/>
    <col min="261" max="261" width="4" style="27" customWidth="1"/>
    <col min="262" max="262" width="13.7265625" style="27" customWidth="1"/>
    <col min="263" max="504" width="13.7265625" style="27"/>
    <col min="505" max="505" width="22.1796875" style="27" customWidth="1"/>
    <col min="506" max="512" width="13.7265625" style="27" customWidth="1"/>
    <col min="513" max="513" width="15.81640625" style="27" customWidth="1"/>
    <col min="514" max="514" width="16.54296875" style="27" bestFit="1" customWidth="1"/>
    <col min="515" max="515" width="13.7265625" style="27" customWidth="1"/>
    <col min="516" max="516" width="17.1796875" style="27" bestFit="1" customWidth="1"/>
    <col min="517" max="517" width="4" style="27" customWidth="1"/>
    <col min="518" max="518" width="13.7265625" style="27" customWidth="1"/>
    <col min="519" max="760" width="13.7265625" style="27"/>
    <col min="761" max="761" width="22.1796875" style="27" customWidth="1"/>
    <col min="762" max="768" width="13.7265625" style="27" customWidth="1"/>
    <col min="769" max="769" width="15.81640625" style="27" customWidth="1"/>
    <col min="770" max="770" width="16.54296875" style="27" bestFit="1" customWidth="1"/>
    <col min="771" max="771" width="13.7265625" style="27" customWidth="1"/>
    <col min="772" max="772" width="17.1796875" style="27" bestFit="1" customWidth="1"/>
    <col min="773" max="773" width="4" style="27" customWidth="1"/>
    <col min="774" max="774" width="13.7265625" style="27" customWidth="1"/>
    <col min="775" max="1016" width="13.7265625" style="27"/>
    <col min="1017" max="1017" width="22.1796875" style="27" customWidth="1"/>
    <col min="1018" max="1024" width="13.7265625" style="27" customWidth="1"/>
    <col min="1025" max="1025" width="15.81640625" style="27" customWidth="1"/>
    <col min="1026" max="1026" width="16.54296875" style="27" bestFit="1" customWidth="1"/>
    <col min="1027" max="1027" width="13.7265625" style="27" customWidth="1"/>
    <col min="1028" max="1028" width="17.1796875" style="27" bestFit="1" customWidth="1"/>
    <col min="1029" max="1029" width="4" style="27" customWidth="1"/>
    <col min="1030" max="1030" width="13.7265625" style="27" customWidth="1"/>
    <col min="1031" max="1272" width="13.7265625" style="27"/>
    <col min="1273" max="1273" width="22.1796875" style="27" customWidth="1"/>
    <col min="1274" max="1280" width="13.7265625" style="27" customWidth="1"/>
    <col min="1281" max="1281" width="15.81640625" style="27" customWidth="1"/>
    <col min="1282" max="1282" width="16.54296875" style="27" bestFit="1" customWidth="1"/>
    <col min="1283" max="1283" width="13.7265625" style="27" customWidth="1"/>
    <col min="1284" max="1284" width="17.1796875" style="27" bestFit="1" customWidth="1"/>
    <col min="1285" max="1285" width="4" style="27" customWidth="1"/>
    <col min="1286" max="1286" width="13.7265625" style="27" customWidth="1"/>
    <col min="1287" max="1528" width="13.7265625" style="27"/>
    <col min="1529" max="1529" width="22.1796875" style="27" customWidth="1"/>
    <col min="1530" max="1536" width="13.7265625" style="27" customWidth="1"/>
    <col min="1537" max="1537" width="15.81640625" style="27" customWidth="1"/>
    <col min="1538" max="1538" width="16.54296875" style="27" bestFit="1" customWidth="1"/>
    <col min="1539" max="1539" width="13.7265625" style="27" customWidth="1"/>
    <col min="1540" max="1540" width="17.1796875" style="27" bestFit="1" customWidth="1"/>
    <col min="1541" max="1541" width="4" style="27" customWidth="1"/>
    <col min="1542" max="1542" width="13.7265625" style="27" customWidth="1"/>
    <col min="1543" max="1784" width="13.7265625" style="27"/>
    <col min="1785" max="1785" width="22.1796875" style="27" customWidth="1"/>
    <col min="1786" max="1792" width="13.7265625" style="27" customWidth="1"/>
    <col min="1793" max="1793" width="15.81640625" style="27" customWidth="1"/>
    <col min="1794" max="1794" width="16.54296875" style="27" bestFit="1" customWidth="1"/>
    <col min="1795" max="1795" width="13.7265625" style="27" customWidth="1"/>
    <col min="1796" max="1796" width="17.1796875" style="27" bestFit="1" customWidth="1"/>
    <col min="1797" max="1797" width="4" style="27" customWidth="1"/>
    <col min="1798" max="1798" width="13.7265625" style="27" customWidth="1"/>
    <col min="1799" max="2040" width="13.7265625" style="27"/>
    <col min="2041" max="2041" width="22.1796875" style="27" customWidth="1"/>
    <col min="2042" max="2048" width="13.7265625" style="27" customWidth="1"/>
    <col min="2049" max="2049" width="15.81640625" style="27" customWidth="1"/>
    <col min="2050" max="2050" width="16.54296875" style="27" bestFit="1" customWidth="1"/>
    <col min="2051" max="2051" width="13.7265625" style="27" customWidth="1"/>
    <col min="2052" max="2052" width="17.1796875" style="27" bestFit="1" customWidth="1"/>
    <col min="2053" max="2053" width="4" style="27" customWidth="1"/>
    <col min="2054" max="2054" width="13.7265625" style="27" customWidth="1"/>
    <col min="2055" max="2296" width="13.7265625" style="27"/>
    <col min="2297" max="2297" width="22.1796875" style="27" customWidth="1"/>
    <col min="2298" max="2304" width="13.7265625" style="27" customWidth="1"/>
    <col min="2305" max="2305" width="15.81640625" style="27" customWidth="1"/>
    <col min="2306" max="2306" width="16.54296875" style="27" bestFit="1" customWidth="1"/>
    <col min="2307" max="2307" width="13.7265625" style="27" customWidth="1"/>
    <col min="2308" max="2308" width="17.1796875" style="27" bestFit="1" customWidth="1"/>
    <col min="2309" max="2309" width="4" style="27" customWidth="1"/>
    <col min="2310" max="2310" width="13.7265625" style="27" customWidth="1"/>
    <col min="2311" max="2552" width="13.7265625" style="27"/>
    <col min="2553" max="2553" width="22.1796875" style="27" customWidth="1"/>
    <col min="2554" max="2560" width="13.7265625" style="27" customWidth="1"/>
    <col min="2561" max="2561" width="15.81640625" style="27" customWidth="1"/>
    <col min="2562" max="2562" width="16.54296875" style="27" bestFit="1" customWidth="1"/>
    <col min="2563" max="2563" width="13.7265625" style="27" customWidth="1"/>
    <col min="2564" max="2564" width="17.1796875" style="27" bestFit="1" customWidth="1"/>
    <col min="2565" max="2565" width="4" style="27" customWidth="1"/>
    <col min="2566" max="2566" width="13.7265625" style="27" customWidth="1"/>
    <col min="2567" max="2808" width="13.7265625" style="27"/>
    <col min="2809" max="2809" width="22.1796875" style="27" customWidth="1"/>
    <col min="2810" max="2816" width="13.7265625" style="27" customWidth="1"/>
    <col min="2817" max="2817" width="15.81640625" style="27" customWidth="1"/>
    <col min="2818" max="2818" width="16.54296875" style="27" bestFit="1" customWidth="1"/>
    <col min="2819" max="2819" width="13.7265625" style="27" customWidth="1"/>
    <col min="2820" max="2820" width="17.1796875" style="27" bestFit="1" customWidth="1"/>
    <col min="2821" max="2821" width="4" style="27" customWidth="1"/>
    <col min="2822" max="2822" width="13.7265625" style="27" customWidth="1"/>
    <col min="2823" max="3064" width="13.7265625" style="27"/>
    <col min="3065" max="3065" width="22.1796875" style="27" customWidth="1"/>
    <col min="3066" max="3072" width="13.7265625" style="27" customWidth="1"/>
    <col min="3073" max="3073" width="15.81640625" style="27" customWidth="1"/>
    <col min="3074" max="3074" width="16.54296875" style="27" bestFit="1" customWidth="1"/>
    <col min="3075" max="3075" width="13.7265625" style="27" customWidth="1"/>
    <col min="3076" max="3076" width="17.1796875" style="27" bestFit="1" customWidth="1"/>
    <col min="3077" max="3077" width="4" style="27" customWidth="1"/>
    <col min="3078" max="3078" width="13.7265625" style="27" customWidth="1"/>
    <col min="3079" max="3320" width="13.7265625" style="27"/>
    <col min="3321" max="3321" width="22.1796875" style="27" customWidth="1"/>
    <col min="3322" max="3328" width="13.7265625" style="27" customWidth="1"/>
    <col min="3329" max="3329" width="15.81640625" style="27" customWidth="1"/>
    <col min="3330" max="3330" width="16.54296875" style="27" bestFit="1" customWidth="1"/>
    <col min="3331" max="3331" width="13.7265625" style="27" customWidth="1"/>
    <col min="3332" max="3332" width="17.1796875" style="27" bestFit="1" customWidth="1"/>
    <col min="3333" max="3333" width="4" style="27" customWidth="1"/>
    <col min="3334" max="3334" width="13.7265625" style="27" customWidth="1"/>
    <col min="3335" max="3576" width="13.7265625" style="27"/>
    <col min="3577" max="3577" width="22.1796875" style="27" customWidth="1"/>
    <col min="3578" max="3584" width="13.7265625" style="27" customWidth="1"/>
    <col min="3585" max="3585" width="15.81640625" style="27" customWidth="1"/>
    <col min="3586" max="3586" width="16.54296875" style="27" bestFit="1" customWidth="1"/>
    <col min="3587" max="3587" width="13.7265625" style="27" customWidth="1"/>
    <col min="3588" max="3588" width="17.1796875" style="27" bestFit="1" customWidth="1"/>
    <col min="3589" max="3589" width="4" style="27" customWidth="1"/>
    <col min="3590" max="3590" width="13.7265625" style="27" customWidth="1"/>
    <col min="3591" max="3832" width="13.7265625" style="27"/>
    <col min="3833" max="3833" width="22.1796875" style="27" customWidth="1"/>
    <col min="3834" max="3840" width="13.7265625" style="27" customWidth="1"/>
    <col min="3841" max="3841" width="15.81640625" style="27" customWidth="1"/>
    <col min="3842" max="3842" width="16.54296875" style="27" bestFit="1" customWidth="1"/>
    <col min="3843" max="3843" width="13.7265625" style="27" customWidth="1"/>
    <col min="3844" max="3844" width="17.1796875" style="27" bestFit="1" customWidth="1"/>
    <col min="3845" max="3845" width="4" style="27" customWidth="1"/>
    <col min="3846" max="3846" width="13.7265625" style="27" customWidth="1"/>
    <col min="3847" max="4088" width="13.7265625" style="27"/>
    <col min="4089" max="4089" width="22.1796875" style="27" customWidth="1"/>
    <col min="4090" max="4096" width="13.7265625" style="27" customWidth="1"/>
    <col min="4097" max="4097" width="15.81640625" style="27" customWidth="1"/>
    <col min="4098" max="4098" width="16.54296875" style="27" bestFit="1" customWidth="1"/>
    <col min="4099" max="4099" width="13.7265625" style="27" customWidth="1"/>
    <col min="4100" max="4100" width="17.1796875" style="27" bestFit="1" customWidth="1"/>
    <col min="4101" max="4101" width="4" style="27" customWidth="1"/>
    <col min="4102" max="4102" width="13.7265625" style="27" customWidth="1"/>
    <col min="4103" max="4344" width="13.7265625" style="27"/>
    <col min="4345" max="4345" width="22.1796875" style="27" customWidth="1"/>
    <col min="4346" max="4352" width="13.7265625" style="27" customWidth="1"/>
    <col min="4353" max="4353" width="15.81640625" style="27" customWidth="1"/>
    <col min="4354" max="4354" width="16.54296875" style="27" bestFit="1" customWidth="1"/>
    <col min="4355" max="4355" width="13.7265625" style="27" customWidth="1"/>
    <col min="4356" max="4356" width="17.1796875" style="27" bestFit="1" customWidth="1"/>
    <col min="4357" max="4357" width="4" style="27" customWidth="1"/>
    <col min="4358" max="4358" width="13.7265625" style="27" customWidth="1"/>
    <col min="4359" max="4600" width="13.7265625" style="27"/>
    <col min="4601" max="4601" width="22.1796875" style="27" customWidth="1"/>
    <col min="4602" max="4608" width="13.7265625" style="27" customWidth="1"/>
    <col min="4609" max="4609" width="15.81640625" style="27" customWidth="1"/>
    <col min="4610" max="4610" width="16.54296875" style="27" bestFit="1" customWidth="1"/>
    <col min="4611" max="4611" width="13.7265625" style="27" customWidth="1"/>
    <col min="4612" max="4612" width="17.1796875" style="27" bestFit="1" customWidth="1"/>
    <col min="4613" max="4613" width="4" style="27" customWidth="1"/>
    <col min="4614" max="4614" width="13.7265625" style="27" customWidth="1"/>
    <col min="4615" max="4856" width="13.7265625" style="27"/>
    <col min="4857" max="4857" width="22.1796875" style="27" customWidth="1"/>
    <col min="4858" max="4864" width="13.7265625" style="27" customWidth="1"/>
    <col min="4865" max="4865" width="15.81640625" style="27" customWidth="1"/>
    <col min="4866" max="4866" width="16.54296875" style="27" bestFit="1" customWidth="1"/>
    <col min="4867" max="4867" width="13.7265625" style="27" customWidth="1"/>
    <col min="4868" max="4868" width="17.1796875" style="27" bestFit="1" customWidth="1"/>
    <col min="4869" max="4869" width="4" style="27" customWidth="1"/>
    <col min="4870" max="4870" width="13.7265625" style="27" customWidth="1"/>
    <col min="4871" max="5112" width="13.7265625" style="27"/>
    <col min="5113" max="5113" width="22.1796875" style="27" customWidth="1"/>
    <col min="5114" max="5120" width="13.7265625" style="27" customWidth="1"/>
    <col min="5121" max="5121" width="15.81640625" style="27" customWidth="1"/>
    <col min="5122" max="5122" width="16.54296875" style="27" bestFit="1" customWidth="1"/>
    <col min="5123" max="5123" width="13.7265625" style="27" customWidth="1"/>
    <col min="5124" max="5124" width="17.1796875" style="27" bestFit="1" customWidth="1"/>
    <col min="5125" max="5125" width="4" style="27" customWidth="1"/>
    <col min="5126" max="5126" width="13.7265625" style="27" customWidth="1"/>
    <col min="5127" max="5368" width="13.7265625" style="27"/>
    <col min="5369" max="5369" width="22.1796875" style="27" customWidth="1"/>
    <col min="5370" max="5376" width="13.7265625" style="27" customWidth="1"/>
    <col min="5377" max="5377" width="15.81640625" style="27" customWidth="1"/>
    <col min="5378" max="5378" width="16.54296875" style="27" bestFit="1" customWidth="1"/>
    <col min="5379" max="5379" width="13.7265625" style="27" customWidth="1"/>
    <col min="5380" max="5380" width="17.1796875" style="27" bestFit="1" customWidth="1"/>
    <col min="5381" max="5381" width="4" style="27" customWidth="1"/>
    <col min="5382" max="5382" width="13.7265625" style="27" customWidth="1"/>
    <col min="5383" max="5624" width="13.7265625" style="27"/>
    <col min="5625" max="5625" width="22.1796875" style="27" customWidth="1"/>
    <col min="5626" max="5632" width="13.7265625" style="27" customWidth="1"/>
    <col min="5633" max="5633" width="15.81640625" style="27" customWidth="1"/>
    <col min="5634" max="5634" width="16.54296875" style="27" bestFit="1" customWidth="1"/>
    <col min="5635" max="5635" width="13.7265625" style="27" customWidth="1"/>
    <col min="5636" max="5636" width="17.1796875" style="27" bestFit="1" customWidth="1"/>
    <col min="5637" max="5637" width="4" style="27" customWidth="1"/>
    <col min="5638" max="5638" width="13.7265625" style="27" customWidth="1"/>
    <col min="5639" max="5880" width="13.7265625" style="27"/>
    <col min="5881" max="5881" width="22.1796875" style="27" customWidth="1"/>
    <col min="5882" max="5888" width="13.7265625" style="27" customWidth="1"/>
    <col min="5889" max="5889" width="15.81640625" style="27" customWidth="1"/>
    <col min="5890" max="5890" width="16.54296875" style="27" bestFit="1" customWidth="1"/>
    <col min="5891" max="5891" width="13.7265625" style="27" customWidth="1"/>
    <col min="5892" max="5892" width="17.1796875" style="27" bestFit="1" customWidth="1"/>
    <col min="5893" max="5893" width="4" style="27" customWidth="1"/>
    <col min="5894" max="5894" width="13.7265625" style="27" customWidth="1"/>
    <col min="5895" max="6136" width="13.7265625" style="27"/>
    <col min="6137" max="6137" width="22.1796875" style="27" customWidth="1"/>
    <col min="6138" max="6144" width="13.7265625" style="27" customWidth="1"/>
    <col min="6145" max="6145" width="15.81640625" style="27" customWidth="1"/>
    <col min="6146" max="6146" width="16.54296875" style="27" bestFit="1" customWidth="1"/>
    <col min="6147" max="6147" width="13.7265625" style="27" customWidth="1"/>
    <col min="6148" max="6148" width="17.1796875" style="27" bestFit="1" customWidth="1"/>
    <col min="6149" max="6149" width="4" style="27" customWidth="1"/>
    <col min="6150" max="6150" width="13.7265625" style="27" customWidth="1"/>
    <col min="6151" max="6392" width="13.7265625" style="27"/>
    <col min="6393" max="6393" width="22.1796875" style="27" customWidth="1"/>
    <col min="6394" max="6400" width="13.7265625" style="27" customWidth="1"/>
    <col min="6401" max="6401" width="15.81640625" style="27" customWidth="1"/>
    <col min="6402" max="6402" width="16.54296875" style="27" bestFit="1" customWidth="1"/>
    <col min="6403" max="6403" width="13.7265625" style="27" customWidth="1"/>
    <col min="6404" max="6404" width="17.1796875" style="27" bestFit="1" customWidth="1"/>
    <col min="6405" max="6405" width="4" style="27" customWidth="1"/>
    <col min="6406" max="6406" width="13.7265625" style="27" customWidth="1"/>
    <col min="6407" max="6648" width="13.7265625" style="27"/>
    <col min="6649" max="6649" width="22.1796875" style="27" customWidth="1"/>
    <col min="6650" max="6656" width="13.7265625" style="27" customWidth="1"/>
    <col min="6657" max="6657" width="15.81640625" style="27" customWidth="1"/>
    <col min="6658" max="6658" width="16.54296875" style="27" bestFit="1" customWidth="1"/>
    <col min="6659" max="6659" width="13.7265625" style="27" customWidth="1"/>
    <col min="6660" max="6660" width="17.1796875" style="27" bestFit="1" customWidth="1"/>
    <col min="6661" max="6661" width="4" style="27" customWidth="1"/>
    <col min="6662" max="6662" width="13.7265625" style="27" customWidth="1"/>
    <col min="6663" max="6904" width="13.7265625" style="27"/>
    <col min="6905" max="6905" width="22.1796875" style="27" customWidth="1"/>
    <col min="6906" max="6912" width="13.7265625" style="27" customWidth="1"/>
    <col min="6913" max="6913" width="15.81640625" style="27" customWidth="1"/>
    <col min="6914" max="6914" width="16.54296875" style="27" bestFit="1" customWidth="1"/>
    <col min="6915" max="6915" width="13.7265625" style="27" customWidth="1"/>
    <col min="6916" max="6916" width="17.1796875" style="27" bestFit="1" customWidth="1"/>
    <col min="6917" max="6917" width="4" style="27" customWidth="1"/>
    <col min="6918" max="6918" width="13.7265625" style="27" customWidth="1"/>
    <col min="6919" max="7160" width="13.7265625" style="27"/>
    <col min="7161" max="7161" width="22.1796875" style="27" customWidth="1"/>
    <col min="7162" max="7168" width="13.7265625" style="27" customWidth="1"/>
    <col min="7169" max="7169" width="15.81640625" style="27" customWidth="1"/>
    <col min="7170" max="7170" width="16.54296875" style="27" bestFit="1" customWidth="1"/>
    <col min="7171" max="7171" width="13.7265625" style="27" customWidth="1"/>
    <col min="7172" max="7172" width="17.1796875" style="27" bestFit="1" customWidth="1"/>
    <col min="7173" max="7173" width="4" style="27" customWidth="1"/>
    <col min="7174" max="7174" width="13.7265625" style="27" customWidth="1"/>
    <col min="7175" max="7416" width="13.7265625" style="27"/>
    <col min="7417" max="7417" width="22.1796875" style="27" customWidth="1"/>
    <col min="7418" max="7424" width="13.7265625" style="27" customWidth="1"/>
    <col min="7425" max="7425" width="15.81640625" style="27" customWidth="1"/>
    <col min="7426" max="7426" width="16.54296875" style="27" bestFit="1" customWidth="1"/>
    <col min="7427" max="7427" width="13.7265625" style="27" customWidth="1"/>
    <col min="7428" max="7428" width="17.1796875" style="27" bestFit="1" customWidth="1"/>
    <col min="7429" max="7429" width="4" style="27" customWidth="1"/>
    <col min="7430" max="7430" width="13.7265625" style="27" customWidth="1"/>
    <col min="7431" max="7672" width="13.7265625" style="27"/>
    <col min="7673" max="7673" width="22.1796875" style="27" customWidth="1"/>
    <col min="7674" max="7680" width="13.7265625" style="27" customWidth="1"/>
    <col min="7681" max="7681" width="15.81640625" style="27" customWidth="1"/>
    <col min="7682" max="7682" width="16.54296875" style="27" bestFit="1" customWidth="1"/>
    <col min="7683" max="7683" width="13.7265625" style="27" customWidth="1"/>
    <col min="7684" max="7684" width="17.1796875" style="27" bestFit="1" customWidth="1"/>
    <col min="7685" max="7685" width="4" style="27" customWidth="1"/>
    <col min="7686" max="7686" width="13.7265625" style="27" customWidth="1"/>
    <col min="7687" max="7928" width="13.7265625" style="27"/>
    <col min="7929" max="7929" width="22.1796875" style="27" customWidth="1"/>
    <col min="7930" max="7936" width="13.7265625" style="27" customWidth="1"/>
    <col min="7937" max="7937" width="15.81640625" style="27" customWidth="1"/>
    <col min="7938" max="7938" width="16.54296875" style="27" bestFit="1" customWidth="1"/>
    <col min="7939" max="7939" width="13.7265625" style="27" customWidth="1"/>
    <col min="7940" max="7940" width="17.1796875" style="27" bestFit="1" customWidth="1"/>
    <col min="7941" max="7941" width="4" style="27" customWidth="1"/>
    <col min="7942" max="7942" width="13.7265625" style="27" customWidth="1"/>
    <col min="7943" max="8184" width="13.7265625" style="27"/>
    <col min="8185" max="8185" width="22.1796875" style="27" customWidth="1"/>
    <col min="8186" max="8192" width="13.7265625" style="27" customWidth="1"/>
    <col min="8193" max="8193" width="15.81640625" style="27" customWidth="1"/>
    <col min="8194" max="8194" width="16.54296875" style="27" bestFit="1" customWidth="1"/>
    <col min="8195" max="8195" width="13.7265625" style="27" customWidth="1"/>
    <col min="8196" max="8196" width="17.1796875" style="27" bestFit="1" customWidth="1"/>
    <col min="8197" max="8197" width="4" style="27" customWidth="1"/>
    <col min="8198" max="8198" width="13.7265625" style="27" customWidth="1"/>
    <col min="8199" max="8440" width="13.7265625" style="27"/>
    <col min="8441" max="8441" width="22.1796875" style="27" customWidth="1"/>
    <col min="8442" max="8448" width="13.7265625" style="27" customWidth="1"/>
    <col min="8449" max="8449" width="15.81640625" style="27" customWidth="1"/>
    <col min="8450" max="8450" width="16.54296875" style="27" bestFit="1" customWidth="1"/>
    <col min="8451" max="8451" width="13.7265625" style="27" customWidth="1"/>
    <col min="8452" max="8452" width="17.1796875" style="27" bestFit="1" customWidth="1"/>
    <col min="8453" max="8453" width="4" style="27" customWidth="1"/>
    <col min="8454" max="8454" width="13.7265625" style="27" customWidth="1"/>
    <col min="8455" max="8696" width="13.7265625" style="27"/>
    <col min="8697" max="8697" width="22.1796875" style="27" customWidth="1"/>
    <col min="8698" max="8704" width="13.7265625" style="27" customWidth="1"/>
    <col min="8705" max="8705" width="15.81640625" style="27" customWidth="1"/>
    <col min="8706" max="8706" width="16.54296875" style="27" bestFit="1" customWidth="1"/>
    <col min="8707" max="8707" width="13.7265625" style="27" customWidth="1"/>
    <col min="8708" max="8708" width="17.1796875" style="27" bestFit="1" customWidth="1"/>
    <col min="8709" max="8709" width="4" style="27" customWidth="1"/>
    <col min="8710" max="8710" width="13.7265625" style="27" customWidth="1"/>
    <col min="8711" max="8952" width="13.7265625" style="27"/>
    <col min="8953" max="8953" width="22.1796875" style="27" customWidth="1"/>
    <col min="8954" max="8960" width="13.7265625" style="27" customWidth="1"/>
    <col min="8961" max="8961" width="15.81640625" style="27" customWidth="1"/>
    <col min="8962" max="8962" width="16.54296875" style="27" bestFit="1" customWidth="1"/>
    <col min="8963" max="8963" width="13.7265625" style="27" customWidth="1"/>
    <col min="8964" max="8964" width="17.1796875" style="27" bestFit="1" customWidth="1"/>
    <col min="8965" max="8965" width="4" style="27" customWidth="1"/>
    <col min="8966" max="8966" width="13.7265625" style="27" customWidth="1"/>
    <col min="8967" max="9208" width="13.7265625" style="27"/>
    <col min="9209" max="9209" width="22.1796875" style="27" customWidth="1"/>
    <col min="9210" max="9216" width="13.7265625" style="27" customWidth="1"/>
    <col min="9217" max="9217" width="15.81640625" style="27" customWidth="1"/>
    <col min="9218" max="9218" width="16.54296875" style="27" bestFit="1" customWidth="1"/>
    <col min="9219" max="9219" width="13.7265625" style="27" customWidth="1"/>
    <col min="9220" max="9220" width="17.1796875" style="27" bestFit="1" customWidth="1"/>
    <col min="9221" max="9221" width="4" style="27" customWidth="1"/>
    <col min="9222" max="9222" width="13.7265625" style="27" customWidth="1"/>
    <col min="9223" max="9464" width="13.7265625" style="27"/>
    <col min="9465" max="9465" width="22.1796875" style="27" customWidth="1"/>
    <col min="9466" max="9472" width="13.7265625" style="27" customWidth="1"/>
    <col min="9473" max="9473" width="15.81640625" style="27" customWidth="1"/>
    <col min="9474" max="9474" width="16.54296875" style="27" bestFit="1" customWidth="1"/>
    <col min="9475" max="9475" width="13.7265625" style="27" customWidth="1"/>
    <col min="9476" max="9476" width="17.1796875" style="27" bestFit="1" customWidth="1"/>
    <col min="9477" max="9477" width="4" style="27" customWidth="1"/>
    <col min="9478" max="9478" width="13.7265625" style="27" customWidth="1"/>
    <col min="9479" max="9720" width="13.7265625" style="27"/>
    <col min="9721" max="9721" width="22.1796875" style="27" customWidth="1"/>
    <col min="9722" max="9728" width="13.7265625" style="27" customWidth="1"/>
    <col min="9729" max="9729" width="15.81640625" style="27" customWidth="1"/>
    <col min="9730" max="9730" width="16.54296875" style="27" bestFit="1" customWidth="1"/>
    <col min="9731" max="9731" width="13.7265625" style="27" customWidth="1"/>
    <col min="9732" max="9732" width="17.1796875" style="27" bestFit="1" customWidth="1"/>
    <col min="9733" max="9733" width="4" style="27" customWidth="1"/>
    <col min="9734" max="9734" width="13.7265625" style="27" customWidth="1"/>
    <col min="9735" max="9976" width="13.7265625" style="27"/>
    <col min="9977" max="9977" width="22.1796875" style="27" customWidth="1"/>
    <col min="9978" max="9984" width="13.7265625" style="27" customWidth="1"/>
    <col min="9985" max="9985" width="15.81640625" style="27" customWidth="1"/>
    <col min="9986" max="9986" width="16.54296875" style="27" bestFit="1" customWidth="1"/>
    <col min="9987" max="9987" width="13.7265625" style="27" customWidth="1"/>
    <col min="9988" max="9988" width="17.1796875" style="27" bestFit="1" customWidth="1"/>
    <col min="9989" max="9989" width="4" style="27" customWidth="1"/>
    <col min="9990" max="9990" width="13.7265625" style="27" customWidth="1"/>
    <col min="9991" max="10232" width="13.7265625" style="27"/>
    <col min="10233" max="10233" width="22.1796875" style="27" customWidth="1"/>
    <col min="10234" max="10240" width="13.7265625" style="27" customWidth="1"/>
    <col min="10241" max="10241" width="15.81640625" style="27" customWidth="1"/>
    <col min="10242" max="10242" width="16.54296875" style="27" bestFit="1" customWidth="1"/>
    <col min="10243" max="10243" width="13.7265625" style="27" customWidth="1"/>
    <col min="10244" max="10244" width="17.1796875" style="27" bestFit="1" customWidth="1"/>
    <col min="10245" max="10245" width="4" style="27" customWidth="1"/>
    <col min="10246" max="10246" width="13.7265625" style="27" customWidth="1"/>
    <col min="10247" max="10488" width="13.7265625" style="27"/>
    <col min="10489" max="10489" width="22.1796875" style="27" customWidth="1"/>
    <col min="10490" max="10496" width="13.7265625" style="27" customWidth="1"/>
    <col min="10497" max="10497" width="15.81640625" style="27" customWidth="1"/>
    <col min="10498" max="10498" width="16.54296875" style="27" bestFit="1" customWidth="1"/>
    <col min="10499" max="10499" width="13.7265625" style="27" customWidth="1"/>
    <col min="10500" max="10500" width="17.1796875" style="27" bestFit="1" customWidth="1"/>
    <col min="10501" max="10501" width="4" style="27" customWidth="1"/>
    <col min="10502" max="10502" width="13.7265625" style="27" customWidth="1"/>
    <col min="10503" max="10744" width="13.7265625" style="27"/>
    <col min="10745" max="10745" width="22.1796875" style="27" customWidth="1"/>
    <col min="10746" max="10752" width="13.7265625" style="27" customWidth="1"/>
    <col min="10753" max="10753" width="15.81640625" style="27" customWidth="1"/>
    <col min="10754" max="10754" width="16.54296875" style="27" bestFit="1" customWidth="1"/>
    <col min="10755" max="10755" width="13.7265625" style="27" customWidth="1"/>
    <col min="10756" max="10756" width="17.1796875" style="27" bestFit="1" customWidth="1"/>
    <col min="10757" max="10757" width="4" style="27" customWidth="1"/>
    <col min="10758" max="10758" width="13.7265625" style="27" customWidth="1"/>
    <col min="10759" max="11000" width="13.7265625" style="27"/>
    <col min="11001" max="11001" width="22.1796875" style="27" customWidth="1"/>
    <col min="11002" max="11008" width="13.7265625" style="27" customWidth="1"/>
    <col min="11009" max="11009" width="15.81640625" style="27" customWidth="1"/>
    <col min="11010" max="11010" width="16.54296875" style="27" bestFit="1" customWidth="1"/>
    <col min="11011" max="11011" width="13.7265625" style="27" customWidth="1"/>
    <col min="11012" max="11012" width="17.1796875" style="27" bestFit="1" customWidth="1"/>
    <col min="11013" max="11013" width="4" style="27" customWidth="1"/>
    <col min="11014" max="11014" width="13.7265625" style="27" customWidth="1"/>
    <col min="11015" max="11256" width="13.7265625" style="27"/>
    <col min="11257" max="11257" width="22.1796875" style="27" customWidth="1"/>
    <col min="11258" max="11264" width="13.7265625" style="27" customWidth="1"/>
    <col min="11265" max="11265" width="15.81640625" style="27" customWidth="1"/>
    <col min="11266" max="11266" width="16.54296875" style="27" bestFit="1" customWidth="1"/>
    <col min="11267" max="11267" width="13.7265625" style="27" customWidth="1"/>
    <col min="11268" max="11268" width="17.1796875" style="27" bestFit="1" customWidth="1"/>
    <col min="11269" max="11269" width="4" style="27" customWidth="1"/>
    <col min="11270" max="11270" width="13.7265625" style="27" customWidth="1"/>
    <col min="11271" max="11512" width="13.7265625" style="27"/>
    <col min="11513" max="11513" width="22.1796875" style="27" customWidth="1"/>
    <col min="11514" max="11520" width="13.7265625" style="27" customWidth="1"/>
    <col min="11521" max="11521" width="15.81640625" style="27" customWidth="1"/>
    <col min="11522" max="11522" width="16.54296875" style="27" bestFit="1" customWidth="1"/>
    <col min="11523" max="11523" width="13.7265625" style="27" customWidth="1"/>
    <col min="11524" max="11524" width="17.1796875" style="27" bestFit="1" customWidth="1"/>
    <col min="11525" max="11525" width="4" style="27" customWidth="1"/>
    <col min="11526" max="11526" width="13.7265625" style="27" customWidth="1"/>
    <col min="11527" max="11768" width="13.7265625" style="27"/>
    <col min="11769" max="11769" width="22.1796875" style="27" customWidth="1"/>
    <col min="11770" max="11776" width="13.7265625" style="27" customWidth="1"/>
    <col min="11777" max="11777" width="15.81640625" style="27" customWidth="1"/>
    <col min="11778" max="11778" width="16.54296875" style="27" bestFit="1" customWidth="1"/>
    <col min="11779" max="11779" width="13.7265625" style="27" customWidth="1"/>
    <col min="11780" max="11780" width="17.1796875" style="27" bestFit="1" customWidth="1"/>
    <col min="11781" max="11781" width="4" style="27" customWidth="1"/>
    <col min="11782" max="11782" width="13.7265625" style="27" customWidth="1"/>
    <col min="11783" max="12024" width="13.7265625" style="27"/>
    <col min="12025" max="12025" width="22.1796875" style="27" customWidth="1"/>
    <col min="12026" max="12032" width="13.7265625" style="27" customWidth="1"/>
    <col min="12033" max="12033" width="15.81640625" style="27" customWidth="1"/>
    <col min="12034" max="12034" width="16.54296875" style="27" bestFit="1" customWidth="1"/>
    <col min="12035" max="12035" width="13.7265625" style="27" customWidth="1"/>
    <col min="12036" max="12036" width="17.1796875" style="27" bestFit="1" customWidth="1"/>
    <col min="12037" max="12037" width="4" style="27" customWidth="1"/>
    <col min="12038" max="12038" width="13.7265625" style="27" customWidth="1"/>
    <col min="12039" max="12280" width="13.7265625" style="27"/>
    <col min="12281" max="12281" width="22.1796875" style="27" customWidth="1"/>
    <col min="12282" max="12288" width="13.7265625" style="27" customWidth="1"/>
    <col min="12289" max="12289" width="15.81640625" style="27" customWidth="1"/>
    <col min="12290" max="12290" width="16.54296875" style="27" bestFit="1" customWidth="1"/>
    <col min="12291" max="12291" width="13.7265625" style="27" customWidth="1"/>
    <col min="12292" max="12292" width="17.1796875" style="27" bestFit="1" customWidth="1"/>
    <col min="12293" max="12293" width="4" style="27" customWidth="1"/>
    <col min="12294" max="12294" width="13.7265625" style="27" customWidth="1"/>
    <col min="12295" max="12536" width="13.7265625" style="27"/>
    <col min="12537" max="12537" width="22.1796875" style="27" customWidth="1"/>
    <col min="12538" max="12544" width="13.7265625" style="27" customWidth="1"/>
    <col min="12545" max="12545" width="15.81640625" style="27" customWidth="1"/>
    <col min="12546" max="12546" width="16.54296875" style="27" bestFit="1" customWidth="1"/>
    <col min="12547" max="12547" width="13.7265625" style="27" customWidth="1"/>
    <col min="12548" max="12548" width="17.1796875" style="27" bestFit="1" customWidth="1"/>
    <col min="12549" max="12549" width="4" style="27" customWidth="1"/>
    <col min="12550" max="12550" width="13.7265625" style="27" customWidth="1"/>
    <col min="12551" max="12792" width="13.7265625" style="27"/>
    <col min="12793" max="12793" width="22.1796875" style="27" customWidth="1"/>
    <col min="12794" max="12800" width="13.7265625" style="27" customWidth="1"/>
    <col min="12801" max="12801" width="15.81640625" style="27" customWidth="1"/>
    <col min="12802" max="12802" width="16.54296875" style="27" bestFit="1" customWidth="1"/>
    <col min="12803" max="12803" width="13.7265625" style="27" customWidth="1"/>
    <col min="12804" max="12804" width="17.1796875" style="27" bestFit="1" customWidth="1"/>
    <col min="12805" max="12805" width="4" style="27" customWidth="1"/>
    <col min="12806" max="12806" width="13.7265625" style="27" customWidth="1"/>
    <col min="12807" max="13048" width="13.7265625" style="27"/>
    <col min="13049" max="13049" width="22.1796875" style="27" customWidth="1"/>
    <col min="13050" max="13056" width="13.7265625" style="27" customWidth="1"/>
    <col min="13057" max="13057" width="15.81640625" style="27" customWidth="1"/>
    <col min="13058" max="13058" width="16.54296875" style="27" bestFit="1" customWidth="1"/>
    <col min="13059" max="13059" width="13.7265625" style="27" customWidth="1"/>
    <col min="13060" max="13060" width="17.1796875" style="27" bestFit="1" customWidth="1"/>
    <col min="13061" max="13061" width="4" style="27" customWidth="1"/>
    <col min="13062" max="13062" width="13.7265625" style="27" customWidth="1"/>
    <col min="13063" max="13304" width="13.7265625" style="27"/>
    <col min="13305" max="13305" width="22.1796875" style="27" customWidth="1"/>
    <col min="13306" max="13312" width="13.7265625" style="27" customWidth="1"/>
    <col min="13313" max="13313" width="15.81640625" style="27" customWidth="1"/>
    <col min="13314" max="13314" width="16.54296875" style="27" bestFit="1" customWidth="1"/>
    <col min="13315" max="13315" width="13.7265625" style="27" customWidth="1"/>
    <col min="13316" max="13316" width="17.1796875" style="27" bestFit="1" customWidth="1"/>
    <col min="13317" max="13317" width="4" style="27" customWidth="1"/>
    <col min="13318" max="13318" width="13.7265625" style="27" customWidth="1"/>
    <col min="13319" max="13560" width="13.7265625" style="27"/>
    <col min="13561" max="13561" width="22.1796875" style="27" customWidth="1"/>
    <col min="13562" max="13568" width="13.7265625" style="27" customWidth="1"/>
    <col min="13569" max="13569" width="15.81640625" style="27" customWidth="1"/>
    <col min="13570" max="13570" width="16.54296875" style="27" bestFit="1" customWidth="1"/>
    <col min="13571" max="13571" width="13.7265625" style="27" customWidth="1"/>
    <col min="13572" max="13572" width="17.1796875" style="27" bestFit="1" customWidth="1"/>
    <col min="13573" max="13573" width="4" style="27" customWidth="1"/>
    <col min="13574" max="13574" width="13.7265625" style="27" customWidth="1"/>
    <col min="13575" max="13816" width="13.7265625" style="27"/>
    <col min="13817" max="13817" width="22.1796875" style="27" customWidth="1"/>
    <col min="13818" max="13824" width="13.7265625" style="27" customWidth="1"/>
    <col min="13825" max="13825" width="15.81640625" style="27" customWidth="1"/>
    <col min="13826" max="13826" width="16.54296875" style="27" bestFit="1" customWidth="1"/>
    <col min="13827" max="13827" width="13.7265625" style="27" customWidth="1"/>
    <col min="13828" max="13828" width="17.1796875" style="27" bestFit="1" customWidth="1"/>
    <col min="13829" max="13829" width="4" style="27" customWidth="1"/>
    <col min="13830" max="13830" width="13.7265625" style="27" customWidth="1"/>
    <col min="13831" max="14072" width="13.7265625" style="27"/>
    <col min="14073" max="14073" width="22.1796875" style="27" customWidth="1"/>
    <col min="14074" max="14080" width="13.7265625" style="27" customWidth="1"/>
    <col min="14081" max="14081" width="15.81640625" style="27" customWidth="1"/>
    <col min="14082" max="14082" width="16.54296875" style="27" bestFit="1" customWidth="1"/>
    <col min="14083" max="14083" width="13.7265625" style="27" customWidth="1"/>
    <col min="14084" max="14084" width="17.1796875" style="27" bestFit="1" customWidth="1"/>
    <col min="14085" max="14085" width="4" style="27" customWidth="1"/>
    <col min="14086" max="14086" width="13.7265625" style="27" customWidth="1"/>
    <col min="14087" max="14328" width="13.7265625" style="27"/>
    <col min="14329" max="14329" width="22.1796875" style="27" customWidth="1"/>
    <col min="14330" max="14336" width="13.7265625" style="27" customWidth="1"/>
    <col min="14337" max="14337" width="15.81640625" style="27" customWidth="1"/>
    <col min="14338" max="14338" width="16.54296875" style="27" bestFit="1" customWidth="1"/>
    <col min="14339" max="14339" width="13.7265625" style="27" customWidth="1"/>
    <col min="14340" max="14340" width="17.1796875" style="27" bestFit="1" customWidth="1"/>
    <col min="14341" max="14341" width="4" style="27" customWidth="1"/>
    <col min="14342" max="14342" width="13.7265625" style="27" customWidth="1"/>
    <col min="14343" max="14584" width="13.7265625" style="27"/>
    <col min="14585" max="14585" width="22.1796875" style="27" customWidth="1"/>
    <col min="14586" max="14592" width="13.7265625" style="27" customWidth="1"/>
    <col min="14593" max="14593" width="15.81640625" style="27" customWidth="1"/>
    <col min="14594" max="14594" width="16.54296875" style="27" bestFit="1" customWidth="1"/>
    <col min="14595" max="14595" width="13.7265625" style="27" customWidth="1"/>
    <col min="14596" max="14596" width="17.1796875" style="27" bestFit="1" customWidth="1"/>
    <col min="14597" max="14597" width="4" style="27" customWidth="1"/>
    <col min="14598" max="14598" width="13.7265625" style="27" customWidth="1"/>
    <col min="14599" max="14840" width="13.7265625" style="27"/>
    <col min="14841" max="14841" width="22.1796875" style="27" customWidth="1"/>
    <col min="14842" max="14848" width="13.7265625" style="27" customWidth="1"/>
    <col min="14849" max="14849" width="15.81640625" style="27" customWidth="1"/>
    <col min="14850" max="14850" width="16.54296875" style="27" bestFit="1" customWidth="1"/>
    <col min="14851" max="14851" width="13.7265625" style="27" customWidth="1"/>
    <col min="14852" max="14852" width="17.1796875" style="27" bestFit="1" customWidth="1"/>
    <col min="14853" max="14853" width="4" style="27" customWidth="1"/>
    <col min="14854" max="14854" width="13.7265625" style="27" customWidth="1"/>
    <col min="14855" max="15096" width="13.7265625" style="27"/>
    <col min="15097" max="15097" width="22.1796875" style="27" customWidth="1"/>
    <col min="15098" max="15104" width="13.7265625" style="27" customWidth="1"/>
    <col min="15105" max="15105" width="15.81640625" style="27" customWidth="1"/>
    <col min="15106" max="15106" width="16.54296875" style="27" bestFit="1" customWidth="1"/>
    <col min="15107" max="15107" width="13.7265625" style="27" customWidth="1"/>
    <col min="15108" max="15108" width="17.1796875" style="27" bestFit="1" customWidth="1"/>
    <col min="15109" max="15109" width="4" style="27" customWidth="1"/>
    <col min="15110" max="15110" width="13.7265625" style="27" customWidth="1"/>
    <col min="15111" max="15352" width="13.7265625" style="27"/>
    <col min="15353" max="15353" width="22.1796875" style="27" customWidth="1"/>
    <col min="15354" max="15360" width="13.7265625" style="27" customWidth="1"/>
    <col min="15361" max="15361" width="15.81640625" style="27" customWidth="1"/>
    <col min="15362" max="15362" width="16.54296875" style="27" bestFit="1" customWidth="1"/>
    <col min="15363" max="15363" width="13.7265625" style="27" customWidth="1"/>
    <col min="15364" max="15364" width="17.1796875" style="27" bestFit="1" customWidth="1"/>
    <col min="15365" max="15365" width="4" style="27" customWidth="1"/>
    <col min="15366" max="15366" width="13.7265625" style="27" customWidth="1"/>
    <col min="15367" max="15608" width="13.7265625" style="27"/>
    <col min="15609" max="15609" width="22.1796875" style="27" customWidth="1"/>
    <col min="15610" max="15616" width="13.7265625" style="27" customWidth="1"/>
    <col min="15617" max="15617" width="15.81640625" style="27" customWidth="1"/>
    <col min="15618" max="15618" width="16.54296875" style="27" bestFit="1" customWidth="1"/>
    <col min="15619" max="15619" width="13.7265625" style="27" customWidth="1"/>
    <col min="15620" max="15620" width="17.1796875" style="27" bestFit="1" customWidth="1"/>
    <col min="15621" max="15621" width="4" style="27" customWidth="1"/>
    <col min="15622" max="15622" width="13.7265625" style="27" customWidth="1"/>
    <col min="15623" max="15864" width="13.7265625" style="27"/>
    <col min="15865" max="15865" width="22.1796875" style="27" customWidth="1"/>
    <col min="15866" max="15872" width="13.7265625" style="27" customWidth="1"/>
    <col min="15873" max="15873" width="15.81640625" style="27" customWidth="1"/>
    <col min="15874" max="15874" width="16.54296875" style="27" bestFit="1" customWidth="1"/>
    <col min="15875" max="15875" width="13.7265625" style="27" customWidth="1"/>
    <col min="15876" max="15876" width="17.1796875" style="27" bestFit="1" customWidth="1"/>
    <col min="15877" max="15877" width="4" style="27" customWidth="1"/>
    <col min="15878" max="15878" width="13.7265625" style="27" customWidth="1"/>
    <col min="15879" max="16120" width="13.7265625" style="27"/>
    <col min="16121" max="16121" width="22.1796875" style="27" customWidth="1"/>
    <col min="16122" max="16128" width="13.7265625" style="27" customWidth="1"/>
    <col min="16129" max="16129" width="15.81640625" style="27" customWidth="1"/>
    <col min="16130" max="16130" width="16.54296875" style="27" bestFit="1" customWidth="1"/>
    <col min="16131" max="16131" width="13.7265625" style="27" customWidth="1"/>
    <col min="16132" max="16132" width="17.1796875" style="27" bestFit="1" customWidth="1"/>
    <col min="16133" max="16133" width="4" style="27" customWidth="1"/>
    <col min="16134" max="16134" width="13.7265625" style="27" customWidth="1"/>
    <col min="16135" max="16384" width="13.7265625" style="27"/>
  </cols>
  <sheetData>
    <row r="1" spans="1:27" s="21" customFormat="1">
      <c r="A1" s="406" t="s">
        <v>4</v>
      </c>
      <c r="B1" s="148"/>
      <c r="C1" s="148"/>
      <c r="D1" s="148"/>
      <c r="E1" s="83"/>
      <c r="F1" s="83"/>
      <c r="G1" s="149"/>
      <c r="H1" s="83"/>
      <c r="I1" s="83"/>
    </row>
    <row r="2" spans="1:27" s="21" customFormat="1" ht="34.5" customHeight="1">
      <c r="A2" s="83"/>
      <c r="B2" s="148"/>
      <c r="C2" s="148"/>
      <c r="D2" s="148"/>
      <c r="E2" s="150"/>
      <c r="F2" s="381" t="s">
        <v>722</v>
      </c>
      <c r="G2" s="381" t="s">
        <v>725</v>
      </c>
      <c r="H2" s="150"/>
      <c r="I2" s="486"/>
    </row>
    <row r="3" spans="1:27" s="21" customFormat="1" ht="15.5">
      <c r="A3" s="37" t="str">
        <f>'2-Kosten per locatie'!A3</f>
        <v>Naam opdrachtgever</v>
      </c>
      <c r="B3" s="141" t="str">
        <f>'2-Kosten per locatie'!B3</f>
        <v>Zaan Primair</v>
      </c>
      <c r="C3" s="141"/>
      <c r="D3" s="141"/>
      <c r="E3" s="150"/>
      <c r="F3" s="382" t="s">
        <v>173</v>
      </c>
      <c r="G3" s="383"/>
      <c r="H3" s="510" t="s">
        <v>726</v>
      </c>
      <c r="I3" s="511"/>
      <c r="J3" s="511"/>
      <c r="K3" s="511"/>
      <c r="L3" s="511"/>
    </row>
    <row r="4" spans="1:27" s="21" customFormat="1" ht="15.5">
      <c r="A4" s="37" t="str">
        <f>'2-Kosten per locatie'!A4</f>
        <v>Calculatie onderdeel</v>
      </c>
      <c r="B4" s="141" t="str">
        <f ca="1">MID(CELL("bestandsnaam",$D$9),SEARCH("]",CELL("bestandsnaam",$D$9),1)+1,256)</f>
        <v>10-Vloeronderhoud</v>
      </c>
      <c r="C4" s="141"/>
      <c r="D4" s="141"/>
      <c r="E4" s="150"/>
      <c r="F4" s="382" t="s">
        <v>174</v>
      </c>
      <c r="G4" s="383"/>
      <c r="H4" s="150"/>
      <c r="I4" s="420" t="s">
        <v>70</v>
      </c>
    </row>
    <row r="5" spans="1:27" s="21" customFormat="1" ht="15.5">
      <c r="A5" s="37" t="str">
        <f>'2-Kosten per locatie'!A5</f>
        <v>Gebouw/plaats</v>
      </c>
      <c r="B5" s="141" t="str">
        <f>'2-Kosten per locatie'!B5</f>
        <v>Divers</v>
      </c>
      <c r="C5" s="141"/>
      <c r="D5" s="141"/>
      <c r="E5" s="150"/>
      <c r="F5" s="384" t="s">
        <v>175</v>
      </c>
      <c r="G5" s="383"/>
      <c r="H5" s="150"/>
      <c r="I5" s="420" t="s">
        <v>70</v>
      </c>
      <c r="K5" s="23"/>
      <c r="L5" s="22"/>
      <c r="M5" s="23"/>
      <c r="N5" s="23"/>
      <c r="O5" s="22"/>
      <c r="P5" s="24"/>
      <c r="Q5" s="23"/>
      <c r="R5" s="22"/>
      <c r="S5" s="23"/>
      <c r="T5" s="23"/>
      <c r="U5" s="22"/>
      <c r="V5" s="23"/>
      <c r="W5" s="23"/>
      <c r="X5" s="22"/>
      <c r="Y5" s="23"/>
      <c r="Z5" s="23"/>
      <c r="AA5" s="22"/>
    </row>
    <row r="6" spans="1:27" s="21" customFormat="1" ht="17.25" customHeight="1">
      <c r="A6" s="37" t="str">
        <f>'2-Kosten per locatie'!A6</f>
        <v>Referentie nummer</v>
      </c>
      <c r="B6" s="141" t="str">
        <f>'2-Kosten per locatie'!B6</f>
        <v>Perceel 1 (Noordelijk gebied)</v>
      </c>
      <c r="C6" s="141"/>
      <c r="D6" s="141"/>
      <c r="E6" s="150"/>
      <c r="F6" s="382" t="s">
        <v>176</v>
      </c>
      <c r="G6" s="383"/>
      <c r="H6" s="150"/>
      <c r="I6" s="420" t="s">
        <v>201</v>
      </c>
      <c r="K6" s="25"/>
      <c r="L6" s="26"/>
      <c r="M6" s="23"/>
      <c r="N6" s="25"/>
      <c r="O6" s="26"/>
      <c r="P6" s="24"/>
      <c r="Q6" s="25"/>
      <c r="R6" s="26"/>
      <c r="S6" s="23"/>
      <c r="T6" s="25"/>
      <c r="U6" s="26"/>
      <c r="V6" s="23"/>
      <c r="W6" s="25"/>
      <c r="X6" s="26"/>
      <c r="Y6" s="23"/>
      <c r="Z6" s="25"/>
      <c r="AA6" s="26"/>
    </row>
    <row r="7" spans="1:27" s="21" customFormat="1" ht="17.25" customHeight="1">
      <c r="A7" s="37" t="str">
        <f>'2-Kosten per locatie'!A7</f>
        <v>Naam dienstverlener</v>
      </c>
      <c r="B7" s="141">
        <f>'2-Kosten per locatie'!B7</f>
        <v>0</v>
      </c>
      <c r="C7" s="141"/>
      <c r="D7" s="141"/>
      <c r="E7" s="150"/>
      <c r="F7" s="382" t="s">
        <v>198</v>
      </c>
      <c r="G7" s="383"/>
      <c r="H7" s="150"/>
      <c r="I7" s="151"/>
    </row>
    <row r="8" spans="1:27" s="21" customFormat="1" ht="17.25" customHeight="1">
      <c r="A8" s="37" t="str">
        <f>'2-Kosten per locatie'!A8</f>
        <v>Prijspeil</v>
      </c>
      <c r="B8" s="250">
        <f>'2-Kosten per locatie'!B8</f>
        <v>46388</v>
      </c>
      <c r="C8" s="141"/>
      <c r="D8" s="141"/>
      <c r="E8" s="150"/>
      <c r="F8" s="150"/>
      <c r="G8" s="150"/>
      <c r="H8" s="150"/>
      <c r="I8" s="150"/>
    </row>
    <row r="9" spans="1:27" s="21" customFormat="1" ht="17.25" customHeight="1">
      <c r="A9" s="150"/>
      <c r="B9" s="150"/>
      <c r="C9" s="141"/>
      <c r="D9" s="141"/>
      <c r="E9" s="150"/>
      <c r="F9" s="150" t="s">
        <v>723</v>
      </c>
      <c r="G9" s="150"/>
      <c r="H9" s="150"/>
      <c r="I9" s="150"/>
    </row>
    <row r="10" spans="1:27" s="21" customFormat="1" ht="17.25" customHeight="1">
      <c r="A10" s="150"/>
      <c r="B10" s="150"/>
      <c r="C10" s="150"/>
      <c r="D10" s="141"/>
      <c r="E10" s="150"/>
      <c r="G10" s="150"/>
      <c r="H10" s="150"/>
      <c r="I10" s="150"/>
    </row>
    <row r="11" spans="1:27" s="21" customFormat="1" ht="15.5">
      <c r="A11" s="152"/>
      <c r="B11" s="150"/>
      <c r="C11" s="150"/>
      <c r="D11" s="141"/>
      <c r="E11" s="153"/>
      <c r="F11" s="150"/>
      <c r="G11" s="154"/>
      <c r="H11" s="153"/>
      <c r="I11" s="151"/>
    </row>
    <row r="12" spans="1:27" s="28" customFormat="1" ht="43.5" customHeight="1">
      <c r="A12" s="385" t="s">
        <v>15</v>
      </c>
      <c r="B12" s="386" t="s">
        <v>177</v>
      </c>
      <c r="C12" s="386" t="s">
        <v>199</v>
      </c>
      <c r="D12" s="386" t="s">
        <v>172</v>
      </c>
      <c r="E12" s="381" t="s">
        <v>167</v>
      </c>
      <c r="F12" s="386" t="s">
        <v>168</v>
      </c>
      <c r="G12" s="386" t="s">
        <v>169</v>
      </c>
      <c r="H12" s="386" t="s">
        <v>170</v>
      </c>
      <c r="I12" s="386" t="s">
        <v>171</v>
      </c>
    </row>
    <row r="13" spans="1:27">
      <c r="A13" s="159" t="s">
        <v>203</v>
      </c>
      <c r="B13" s="382" t="s">
        <v>70</v>
      </c>
      <c r="C13" s="382" t="s">
        <v>70</v>
      </c>
      <c r="D13" s="382" t="s">
        <v>173</v>
      </c>
      <c r="E13" s="392">
        <f>SUMIFS('4-Basis ruimtestaat'!K:K,'4-Basis ruimtestaat'!B:B,'10-Vloeronderhoud'!A13,'4-Basis ruimtestaat'!J:J,"linoleum",'4-Basis ruimtestaat'!H:H,"gang, hal")+SUMIFS('4-Basis ruimtestaat'!K:K,'4-Basis ruimtestaat'!B:B,'10-Vloeronderhoud'!A13,'4-Basis ruimtestaat'!J:J,"linoleum",'4-Basis ruimtestaat'!H:H,"entree")+SUMIFS('4-Basis ruimtestaat'!K:K,'4-Basis ruimtestaat'!B:B,'10-Vloeronderhoud'!A13,'4-Basis ruimtestaat'!J:J,"linoleum",'4-Basis ruimtestaat'!H:H,"aula")-SUMIFS('4-Basis ruimtestaat'!K:K,'4-Basis ruimtestaat'!B:B,'10-Vloeronderhoud'!A13,'4-Basis ruimtestaat'!J:J,"Linoleum",'4-Basis ruimtestaat'!H:H,"gang, hal",'4-Basis ruimtestaat'!M:M,"nio")-SUMIFS('4-Basis ruimtestaat'!K:K,'4-Basis ruimtestaat'!B:B,'10-Vloeronderhoud'!A13,'4-Basis ruimtestaat'!J:J,"Linoleum",'4-Basis ruimtestaat'!H:H,"entree",'4-Basis ruimtestaat'!M:M,"nio")-SUMIFS('4-Basis ruimtestaat'!K:K,'4-Basis ruimtestaat'!B:B,'10-Vloeronderhoud'!A13,'4-Basis ruimtestaat'!J:J,"Linoleum",'4-Basis ruimtestaat'!H:H,"aula",'4-Basis ruimtestaat'!M:M,"nio")</f>
        <v>269</v>
      </c>
      <c r="F13" s="393">
        <f t="shared" ref="F13:F36" si="0">VLOOKUP(D13,$F$3:$G$10,2,FALSE)</f>
        <v>0</v>
      </c>
      <c r="G13" s="394">
        <f t="shared" ref="G13:G36" si="1">(E13*F13)</f>
        <v>0</v>
      </c>
      <c r="H13" s="395" t="s">
        <v>178</v>
      </c>
      <c r="I13" s="394">
        <f t="shared" ref="I13:I40" si="2">H13*G13</f>
        <v>0</v>
      </c>
    </row>
    <row r="14" spans="1:27">
      <c r="A14" s="159" t="s">
        <v>205</v>
      </c>
      <c r="B14" s="382" t="s">
        <v>70</v>
      </c>
      <c r="C14" s="382" t="s">
        <v>70</v>
      </c>
      <c r="D14" s="382" t="s">
        <v>173</v>
      </c>
      <c r="E14" s="392">
        <f>SUMIFS('4-Basis ruimtestaat'!K:K,'4-Basis ruimtestaat'!B:B,'10-Vloeronderhoud'!A14,'4-Basis ruimtestaat'!J:J,"linoleum",'4-Basis ruimtestaat'!H:H,"gang, hal")+SUMIFS('4-Basis ruimtestaat'!K:K,'4-Basis ruimtestaat'!B:B,'10-Vloeronderhoud'!A14,'4-Basis ruimtestaat'!J:J,"linoleum",'4-Basis ruimtestaat'!H:H,"entree")+SUMIFS('4-Basis ruimtestaat'!K:K,'4-Basis ruimtestaat'!B:B,'10-Vloeronderhoud'!A14,'4-Basis ruimtestaat'!J:J,"linoleum",'4-Basis ruimtestaat'!H:H,"aula")-SUMIFS('4-Basis ruimtestaat'!K:K,'4-Basis ruimtestaat'!B:B,'10-Vloeronderhoud'!A14,'4-Basis ruimtestaat'!J:J,"Linoleum",'4-Basis ruimtestaat'!H:H,"gang, hal",'4-Basis ruimtestaat'!M:M,"nio")-SUMIFS('4-Basis ruimtestaat'!K:K,'4-Basis ruimtestaat'!B:B,'10-Vloeronderhoud'!A14,'4-Basis ruimtestaat'!J:J,"Linoleum",'4-Basis ruimtestaat'!H:H,"entree",'4-Basis ruimtestaat'!M:M,"nio")-SUMIFS('4-Basis ruimtestaat'!K:K,'4-Basis ruimtestaat'!B:B,'10-Vloeronderhoud'!A14,'4-Basis ruimtestaat'!J:J,"Linoleum",'4-Basis ruimtestaat'!H:H,"aula",'4-Basis ruimtestaat'!M:M,"nio")</f>
        <v>279.99999999999994</v>
      </c>
      <c r="F14" s="393">
        <f t="shared" si="0"/>
        <v>0</v>
      </c>
      <c r="G14" s="394">
        <f t="shared" si="1"/>
        <v>0</v>
      </c>
      <c r="H14" s="395" t="s">
        <v>178</v>
      </c>
      <c r="I14" s="394">
        <f t="shared" si="2"/>
        <v>0</v>
      </c>
    </row>
    <row r="15" spans="1:27">
      <c r="A15" s="159" t="s">
        <v>210</v>
      </c>
      <c r="B15" s="382" t="s">
        <v>70</v>
      </c>
      <c r="C15" s="382" t="s">
        <v>70</v>
      </c>
      <c r="D15" s="382" t="s">
        <v>173</v>
      </c>
      <c r="E15" s="392">
        <f>SUMIFS('4-Basis ruimtestaat'!K:K,'4-Basis ruimtestaat'!B:B,'10-Vloeronderhoud'!A15,'4-Basis ruimtestaat'!J:J,"linoleum",'4-Basis ruimtestaat'!H:H,"gang, hal")+SUMIFS('4-Basis ruimtestaat'!K:K,'4-Basis ruimtestaat'!B:B,'10-Vloeronderhoud'!A15,'4-Basis ruimtestaat'!J:J,"linoleum",'4-Basis ruimtestaat'!H:H,"entree")+SUMIFS('4-Basis ruimtestaat'!K:K,'4-Basis ruimtestaat'!B:B,'10-Vloeronderhoud'!A15,'4-Basis ruimtestaat'!J:J,"linoleum",'4-Basis ruimtestaat'!H:H,"aula")-SUMIFS('4-Basis ruimtestaat'!K:K,'4-Basis ruimtestaat'!B:B,'10-Vloeronderhoud'!A15,'4-Basis ruimtestaat'!J:J,"Linoleum",'4-Basis ruimtestaat'!H:H,"gang, hal",'4-Basis ruimtestaat'!M:M,"nio")-SUMIFS('4-Basis ruimtestaat'!K:K,'4-Basis ruimtestaat'!B:B,'10-Vloeronderhoud'!A15,'4-Basis ruimtestaat'!J:J,"Linoleum",'4-Basis ruimtestaat'!H:H,"entree",'4-Basis ruimtestaat'!M:M,"nio")-SUMIFS('4-Basis ruimtestaat'!K:K,'4-Basis ruimtestaat'!B:B,'10-Vloeronderhoud'!A15,'4-Basis ruimtestaat'!J:J,"Linoleum",'4-Basis ruimtestaat'!H:H,"aula",'4-Basis ruimtestaat'!M:M,"nio")</f>
        <v>504.29999999999995</v>
      </c>
      <c r="F15" s="393">
        <f t="shared" si="0"/>
        <v>0</v>
      </c>
      <c r="G15" s="394">
        <f t="shared" si="1"/>
        <v>0</v>
      </c>
      <c r="H15" s="395" t="s">
        <v>178</v>
      </c>
      <c r="I15" s="394">
        <f t="shared" si="2"/>
        <v>0</v>
      </c>
    </row>
    <row r="16" spans="1:27">
      <c r="A16" s="67" t="s">
        <v>712</v>
      </c>
      <c r="B16" s="382" t="s">
        <v>70</v>
      </c>
      <c r="C16" s="382" t="s">
        <v>70</v>
      </c>
      <c r="D16" s="382" t="s">
        <v>173</v>
      </c>
      <c r="E16" s="392">
        <f>SUMIFS('4-Basis ruimtestaat'!K:K,'4-Basis ruimtestaat'!B:B,'10-Vloeronderhoud'!A16,'4-Basis ruimtestaat'!J:J,"linoleum",'4-Basis ruimtestaat'!H:H,"gang, hal")+SUMIFS('4-Basis ruimtestaat'!K:K,'4-Basis ruimtestaat'!B:B,'10-Vloeronderhoud'!A16,'4-Basis ruimtestaat'!J:J,"linoleum",'4-Basis ruimtestaat'!H:H,"entree")+SUMIFS('4-Basis ruimtestaat'!K:K,'4-Basis ruimtestaat'!B:B,'10-Vloeronderhoud'!A16,'4-Basis ruimtestaat'!J:J,"linoleum",'4-Basis ruimtestaat'!H:H,"aula")-SUMIFS('4-Basis ruimtestaat'!K:K,'4-Basis ruimtestaat'!B:B,'10-Vloeronderhoud'!A16,'4-Basis ruimtestaat'!J:J,"Linoleum",'4-Basis ruimtestaat'!H:H,"gang, hal",'4-Basis ruimtestaat'!M:M,"nio")-SUMIFS('4-Basis ruimtestaat'!K:K,'4-Basis ruimtestaat'!B:B,'10-Vloeronderhoud'!A16,'4-Basis ruimtestaat'!J:J,"Linoleum",'4-Basis ruimtestaat'!H:H,"entree",'4-Basis ruimtestaat'!M:M,"nio")-SUMIFS('4-Basis ruimtestaat'!K:K,'4-Basis ruimtestaat'!B:B,'10-Vloeronderhoud'!A16,'4-Basis ruimtestaat'!J:J,"Linoleum",'4-Basis ruimtestaat'!H:H,"aula",'4-Basis ruimtestaat'!M:M,"nio")</f>
        <v>349.09999999999997</v>
      </c>
      <c r="F16" s="393">
        <f t="shared" si="0"/>
        <v>0</v>
      </c>
      <c r="G16" s="394">
        <f t="shared" si="1"/>
        <v>0</v>
      </c>
      <c r="H16" s="395" t="s">
        <v>178</v>
      </c>
      <c r="I16" s="394">
        <f t="shared" si="2"/>
        <v>0</v>
      </c>
    </row>
    <row r="17" spans="1:9">
      <c r="A17" s="159" t="s">
        <v>211</v>
      </c>
      <c r="B17" s="382" t="s">
        <v>70</v>
      </c>
      <c r="C17" s="382" t="s">
        <v>70</v>
      </c>
      <c r="D17" s="382" t="s">
        <v>173</v>
      </c>
      <c r="E17" s="392">
        <f>SUMIFS('4-Basis ruimtestaat'!K:K,'4-Basis ruimtestaat'!B:B,'10-Vloeronderhoud'!A17,'4-Basis ruimtestaat'!J:J,"linoleum",'4-Basis ruimtestaat'!H:H,"gang, hal")+SUMIFS('4-Basis ruimtestaat'!K:K,'4-Basis ruimtestaat'!B:B,'10-Vloeronderhoud'!A17,'4-Basis ruimtestaat'!J:J,"linoleum",'4-Basis ruimtestaat'!H:H,"entree")+SUMIFS('4-Basis ruimtestaat'!K:K,'4-Basis ruimtestaat'!B:B,'10-Vloeronderhoud'!A17,'4-Basis ruimtestaat'!J:J,"linoleum",'4-Basis ruimtestaat'!H:H,"aula")-SUMIFS('4-Basis ruimtestaat'!K:K,'4-Basis ruimtestaat'!B:B,'10-Vloeronderhoud'!A17,'4-Basis ruimtestaat'!J:J,"Linoleum",'4-Basis ruimtestaat'!H:H,"gang, hal",'4-Basis ruimtestaat'!M:M,"nio")-SUMIFS('4-Basis ruimtestaat'!K:K,'4-Basis ruimtestaat'!B:B,'10-Vloeronderhoud'!A17,'4-Basis ruimtestaat'!J:J,"Linoleum",'4-Basis ruimtestaat'!H:H,"entree",'4-Basis ruimtestaat'!M:M,"nio")-SUMIFS('4-Basis ruimtestaat'!K:K,'4-Basis ruimtestaat'!B:B,'10-Vloeronderhoud'!A17,'4-Basis ruimtestaat'!J:J,"Linoleum",'4-Basis ruimtestaat'!H:H,"aula",'4-Basis ruimtestaat'!M:M,"nio")</f>
        <v>268</v>
      </c>
      <c r="F17" s="393">
        <f t="shared" si="0"/>
        <v>0</v>
      </c>
      <c r="G17" s="394">
        <f t="shared" si="1"/>
        <v>0</v>
      </c>
      <c r="H17" s="395" t="s">
        <v>178</v>
      </c>
      <c r="I17" s="394">
        <f t="shared" si="2"/>
        <v>0</v>
      </c>
    </row>
    <row r="18" spans="1:9">
      <c r="A18" s="159" t="s">
        <v>212</v>
      </c>
      <c r="B18" s="382" t="s">
        <v>70</v>
      </c>
      <c r="C18" s="382" t="s">
        <v>70</v>
      </c>
      <c r="D18" s="382" t="s">
        <v>173</v>
      </c>
      <c r="E18" s="392">
        <f>SUMIFS('4-Basis ruimtestaat'!K:K,'4-Basis ruimtestaat'!B:B,'10-Vloeronderhoud'!A18,'4-Basis ruimtestaat'!J:J,"linoleum",'4-Basis ruimtestaat'!H:H,"gang, hal")+SUMIFS('4-Basis ruimtestaat'!K:K,'4-Basis ruimtestaat'!B:B,'10-Vloeronderhoud'!A18,'4-Basis ruimtestaat'!J:J,"linoleum",'4-Basis ruimtestaat'!H:H,"entree")+SUMIFS('4-Basis ruimtestaat'!K:K,'4-Basis ruimtestaat'!B:B,'10-Vloeronderhoud'!A18,'4-Basis ruimtestaat'!J:J,"linoleum",'4-Basis ruimtestaat'!H:H,"aula")-SUMIFS('4-Basis ruimtestaat'!K:K,'4-Basis ruimtestaat'!B:B,'10-Vloeronderhoud'!A18,'4-Basis ruimtestaat'!J:J,"Linoleum",'4-Basis ruimtestaat'!H:H,"gang, hal",'4-Basis ruimtestaat'!M:M,"nio")-SUMIFS('4-Basis ruimtestaat'!K:K,'4-Basis ruimtestaat'!B:B,'10-Vloeronderhoud'!A18,'4-Basis ruimtestaat'!J:J,"Linoleum",'4-Basis ruimtestaat'!H:H,"entree",'4-Basis ruimtestaat'!M:M,"nio")-SUMIFS('4-Basis ruimtestaat'!K:K,'4-Basis ruimtestaat'!B:B,'10-Vloeronderhoud'!A18,'4-Basis ruimtestaat'!J:J,"Linoleum",'4-Basis ruimtestaat'!H:H,"aula",'4-Basis ruimtestaat'!M:M,"nio")</f>
        <v>349.4</v>
      </c>
      <c r="F18" s="393">
        <f t="shared" si="0"/>
        <v>0</v>
      </c>
      <c r="G18" s="394">
        <f t="shared" si="1"/>
        <v>0</v>
      </c>
      <c r="H18" s="395" t="s">
        <v>178</v>
      </c>
      <c r="I18" s="394">
        <f t="shared" si="2"/>
        <v>0</v>
      </c>
    </row>
    <row r="19" spans="1:9">
      <c r="A19" s="159" t="s">
        <v>213</v>
      </c>
      <c r="B19" s="382" t="s">
        <v>70</v>
      </c>
      <c r="C19" s="382" t="s">
        <v>70</v>
      </c>
      <c r="D19" s="382" t="s">
        <v>173</v>
      </c>
      <c r="E19" s="392">
        <f>SUMIFS('4-Basis ruimtestaat'!K:K,'4-Basis ruimtestaat'!B:B,'10-Vloeronderhoud'!A19,'4-Basis ruimtestaat'!J:J,"linoleum",'4-Basis ruimtestaat'!H:H,"gang, hal")+SUMIFS('4-Basis ruimtestaat'!K:K,'4-Basis ruimtestaat'!B:B,'10-Vloeronderhoud'!A19,'4-Basis ruimtestaat'!J:J,"linoleum",'4-Basis ruimtestaat'!H:H,"entree")+SUMIFS('4-Basis ruimtestaat'!K:K,'4-Basis ruimtestaat'!B:B,'10-Vloeronderhoud'!A19,'4-Basis ruimtestaat'!J:J,"linoleum",'4-Basis ruimtestaat'!H:H,"aula")-SUMIFS('4-Basis ruimtestaat'!K:K,'4-Basis ruimtestaat'!B:B,'10-Vloeronderhoud'!A19,'4-Basis ruimtestaat'!J:J,"Linoleum",'4-Basis ruimtestaat'!H:H,"gang, hal",'4-Basis ruimtestaat'!M:M,"nio")-SUMIFS('4-Basis ruimtestaat'!K:K,'4-Basis ruimtestaat'!B:B,'10-Vloeronderhoud'!A19,'4-Basis ruimtestaat'!J:J,"Linoleum",'4-Basis ruimtestaat'!H:H,"entree",'4-Basis ruimtestaat'!M:M,"nio")-SUMIFS('4-Basis ruimtestaat'!K:K,'4-Basis ruimtestaat'!B:B,'10-Vloeronderhoud'!A19,'4-Basis ruimtestaat'!J:J,"Linoleum",'4-Basis ruimtestaat'!H:H,"aula",'4-Basis ruimtestaat'!M:M,"nio")</f>
        <v>251.2</v>
      </c>
      <c r="F19" s="393">
        <f t="shared" si="0"/>
        <v>0</v>
      </c>
      <c r="G19" s="394">
        <f t="shared" si="1"/>
        <v>0</v>
      </c>
      <c r="H19" s="395" t="s">
        <v>178</v>
      </c>
      <c r="I19" s="394">
        <f t="shared" si="2"/>
        <v>0</v>
      </c>
    </row>
    <row r="20" spans="1:9">
      <c r="A20" s="159" t="s">
        <v>214</v>
      </c>
      <c r="B20" s="382" t="s">
        <v>70</v>
      </c>
      <c r="C20" s="382" t="s">
        <v>70</v>
      </c>
      <c r="D20" s="382" t="s">
        <v>173</v>
      </c>
      <c r="E20" s="392">
        <f>SUMIFS('4-Basis ruimtestaat'!K:K,'4-Basis ruimtestaat'!B:B,'10-Vloeronderhoud'!A20,'4-Basis ruimtestaat'!J:J,"linoleum",'4-Basis ruimtestaat'!H:H,"gang, hal")+SUMIFS('4-Basis ruimtestaat'!K:K,'4-Basis ruimtestaat'!B:B,'10-Vloeronderhoud'!A20,'4-Basis ruimtestaat'!J:J,"linoleum",'4-Basis ruimtestaat'!H:H,"entree")+SUMIFS('4-Basis ruimtestaat'!K:K,'4-Basis ruimtestaat'!B:B,'10-Vloeronderhoud'!A20,'4-Basis ruimtestaat'!J:J,"linoleum",'4-Basis ruimtestaat'!H:H,"aula")-SUMIFS('4-Basis ruimtestaat'!K:K,'4-Basis ruimtestaat'!B:B,'10-Vloeronderhoud'!A20,'4-Basis ruimtestaat'!J:J,"Linoleum",'4-Basis ruimtestaat'!H:H,"gang, hal",'4-Basis ruimtestaat'!M:M,"nio")-SUMIFS('4-Basis ruimtestaat'!K:K,'4-Basis ruimtestaat'!B:B,'10-Vloeronderhoud'!A20,'4-Basis ruimtestaat'!J:J,"Linoleum",'4-Basis ruimtestaat'!H:H,"entree",'4-Basis ruimtestaat'!M:M,"nio")-SUMIFS('4-Basis ruimtestaat'!K:K,'4-Basis ruimtestaat'!B:B,'10-Vloeronderhoud'!A20,'4-Basis ruimtestaat'!J:J,"Linoleum",'4-Basis ruimtestaat'!H:H,"aula",'4-Basis ruimtestaat'!M:M,"nio")</f>
        <v>4.4000000000000004</v>
      </c>
      <c r="F20" s="393">
        <f t="shared" si="0"/>
        <v>0</v>
      </c>
      <c r="G20" s="394">
        <f t="shared" si="1"/>
        <v>0</v>
      </c>
      <c r="H20" s="395" t="s">
        <v>178</v>
      </c>
      <c r="I20" s="394">
        <f t="shared" si="2"/>
        <v>0</v>
      </c>
    </row>
    <row r="21" spans="1:9">
      <c r="A21" s="159" t="s">
        <v>215</v>
      </c>
      <c r="B21" s="382" t="s">
        <v>70</v>
      </c>
      <c r="C21" s="382" t="s">
        <v>70</v>
      </c>
      <c r="D21" s="382" t="s">
        <v>173</v>
      </c>
      <c r="E21" s="392">
        <f>SUMIFS('4-Basis ruimtestaat'!K:K,'4-Basis ruimtestaat'!B:B,'10-Vloeronderhoud'!A21,'4-Basis ruimtestaat'!J:J,"linoleum",'4-Basis ruimtestaat'!H:H,"gang, hal")+SUMIFS('4-Basis ruimtestaat'!K:K,'4-Basis ruimtestaat'!B:B,'10-Vloeronderhoud'!A21,'4-Basis ruimtestaat'!J:J,"linoleum",'4-Basis ruimtestaat'!H:H,"entree")+SUMIFS('4-Basis ruimtestaat'!K:K,'4-Basis ruimtestaat'!B:B,'10-Vloeronderhoud'!A21,'4-Basis ruimtestaat'!J:J,"linoleum",'4-Basis ruimtestaat'!H:H,"aula")-SUMIFS('4-Basis ruimtestaat'!K:K,'4-Basis ruimtestaat'!B:B,'10-Vloeronderhoud'!A21,'4-Basis ruimtestaat'!J:J,"Linoleum",'4-Basis ruimtestaat'!H:H,"gang, hal",'4-Basis ruimtestaat'!M:M,"nio")-SUMIFS('4-Basis ruimtestaat'!K:K,'4-Basis ruimtestaat'!B:B,'10-Vloeronderhoud'!A21,'4-Basis ruimtestaat'!J:J,"Linoleum",'4-Basis ruimtestaat'!H:H,"entree",'4-Basis ruimtestaat'!M:M,"nio")-SUMIFS('4-Basis ruimtestaat'!K:K,'4-Basis ruimtestaat'!B:B,'10-Vloeronderhoud'!A21,'4-Basis ruimtestaat'!J:J,"Linoleum",'4-Basis ruimtestaat'!H:H,"aula",'4-Basis ruimtestaat'!M:M,"nio")</f>
        <v>69.8</v>
      </c>
      <c r="F21" s="393">
        <f t="shared" si="0"/>
        <v>0</v>
      </c>
      <c r="G21" s="394">
        <f t="shared" si="1"/>
        <v>0</v>
      </c>
      <c r="H21" s="395" t="s">
        <v>178</v>
      </c>
      <c r="I21" s="394">
        <f t="shared" si="2"/>
        <v>0</v>
      </c>
    </row>
    <row r="22" spans="1:9">
      <c r="A22" s="159" t="s">
        <v>216</v>
      </c>
      <c r="B22" s="382" t="s">
        <v>70</v>
      </c>
      <c r="C22" s="382" t="s">
        <v>70</v>
      </c>
      <c r="D22" s="382" t="s">
        <v>173</v>
      </c>
      <c r="E22" s="392">
        <f>SUMIFS('4-Basis ruimtestaat'!K:K,'4-Basis ruimtestaat'!B:B,'10-Vloeronderhoud'!A22,'4-Basis ruimtestaat'!J:J,"linoleum",'4-Basis ruimtestaat'!H:H,"gang, hal")+SUMIFS('4-Basis ruimtestaat'!K:K,'4-Basis ruimtestaat'!B:B,'10-Vloeronderhoud'!A22,'4-Basis ruimtestaat'!J:J,"linoleum",'4-Basis ruimtestaat'!H:H,"entree")+SUMIFS('4-Basis ruimtestaat'!K:K,'4-Basis ruimtestaat'!B:B,'10-Vloeronderhoud'!A22,'4-Basis ruimtestaat'!J:J,"linoleum",'4-Basis ruimtestaat'!H:H,"aula")-SUMIFS('4-Basis ruimtestaat'!K:K,'4-Basis ruimtestaat'!B:B,'10-Vloeronderhoud'!A22,'4-Basis ruimtestaat'!J:J,"Linoleum",'4-Basis ruimtestaat'!H:H,"gang, hal",'4-Basis ruimtestaat'!M:M,"nio")-SUMIFS('4-Basis ruimtestaat'!K:K,'4-Basis ruimtestaat'!B:B,'10-Vloeronderhoud'!A22,'4-Basis ruimtestaat'!J:J,"Linoleum",'4-Basis ruimtestaat'!H:H,"entree",'4-Basis ruimtestaat'!M:M,"nio")-SUMIFS('4-Basis ruimtestaat'!K:K,'4-Basis ruimtestaat'!B:B,'10-Vloeronderhoud'!A22,'4-Basis ruimtestaat'!J:J,"Linoleum",'4-Basis ruimtestaat'!H:H,"aula",'4-Basis ruimtestaat'!M:M,"nio")</f>
        <v>273.5</v>
      </c>
      <c r="F22" s="393">
        <f t="shared" si="0"/>
        <v>0</v>
      </c>
      <c r="G22" s="394">
        <f t="shared" si="1"/>
        <v>0</v>
      </c>
      <c r="H22" s="395" t="s">
        <v>178</v>
      </c>
      <c r="I22" s="394">
        <f t="shared" si="2"/>
        <v>0</v>
      </c>
    </row>
    <row r="23" spans="1:9">
      <c r="A23" s="159" t="s">
        <v>219</v>
      </c>
      <c r="B23" s="382" t="s">
        <v>70</v>
      </c>
      <c r="C23" s="382" t="s">
        <v>70</v>
      </c>
      <c r="D23" s="382" t="s">
        <v>173</v>
      </c>
      <c r="E23" s="392">
        <f>SUMIFS('4-Basis ruimtestaat'!K:K,'4-Basis ruimtestaat'!B:B,'10-Vloeronderhoud'!A23,'4-Basis ruimtestaat'!J:J,"linoleum",'4-Basis ruimtestaat'!H:H,"gang, hal")+SUMIFS('4-Basis ruimtestaat'!K:K,'4-Basis ruimtestaat'!B:B,'10-Vloeronderhoud'!A23,'4-Basis ruimtestaat'!J:J,"linoleum",'4-Basis ruimtestaat'!H:H,"entree")+SUMIFS('4-Basis ruimtestaat'!K:K,'4-Basis ruimtestaat'!B:B,'10-Vloeronderhoud'!A23,'4-Basis ruimtestaat'!J:J,"linoleum",'4-Basis ruimtestaat'!H:H,"aula")-SUMIFS('4-Basis ruimtestaat'!K:K,'4-Basis ruimtestaat'!B:B,'10-Vloeronderhoud'!A23,'4-Basis ruimtestaat'!J:J,"Linoleum",'4-Basis ruimtestaat'!H:H,"gang, hal",'4-Basis ruimtestaat'!M:M,"nio")-SUMIFS('4-Basis ruimtestaat'!K:K,'4-Basis ruimtestaat'!B:B,'10-Vloeronderhoud'!A23,'4-Basis ruimtestaat'!J:J,"Linoleum",'4-Basis ruimtestaat'!H:H,"entree",'4-Basis ruimtestaat'!M:M,"nio")-SUMIFS('4-Basis ruimtestaat'!K:K,'4-Basis ruimtestaat'!B:B,'10-Vloeronderhoud'!A23,'4-Basis ruimtestaat'!J:J,"Linoleum",'4-Basis ruimtestaat'!H:H,"aula",'4-Basis ruimtestaat'!M:M,"nio")</f>
        <v>591.70000000000005</v>
      </c>
      <c r="F23" s="393">
        <f t="shared" si="0"/>
        <v>0</v>
      </c>
      <c r="G23" s="394">
        <f t="shared" si="1"/>
        <v>0</v>
      </c>
      <c r="H23" s="395" t="s">
        <v>178</v>
      </c>
      <c r="I23" s="394">
        <f t="shared" si="2"/>
        <v>0</v>
      </c>
    </row>
    <row r="24" spans="1:9">
      <c r="A24" s="159" t="s">
        <v>207</v>
      </c>
      <c r="B24" s="382" t="s">
        <v>70</v>
      </c>
      <c r="C24" s="382" t="s">
        <v>70</v>
      </c>
      <c r="D24" s="382" t="s">
        <v>173</v>
      </c>
      <c r="E24" s="392">
        <f>SUMIFS('4-Basis ruimtestaat'!K:K,'4-Basis ruimtestaat'!B:B,'10-Vloeronderhoud'!A24,'4-Basis ruimtestaat'!J:J,"linoleum",'4-Basis ruimtestaat'!H:H,"gang, hal")+SUMIFS('4-Basis ruimtestaat'!K:K,'4-Basis ruimtestaat'!B:B,'10-Vloeronderhoud'!A24,'4-Basis ruimtestaat'!J:J,"linoleum",'4-Basis ruimtestaat'!H:H,"entree")+SUMIFS('4-Basis ruimtestaat'!K:K,'4-Basis ruimtestaat'!B:B,'10-Vloeronderhoud'!A24,'4-Basis ruimtestaat'!J:J,"linoleum",'4-Basis ruimtestaat'!H:H,"aula")-SUMIFS('4-Basis ruimtestaat'!K:K,'4-Basis ruimtestaat'!B:B,'10-Vloeronderhoud'!A24,'4-Basis ruimtestaat'!J:J,"Linoleum",'4-Basis ruimtestaat'!H:H,"gang, hal",'4-Basis ruimtestaat'!M:M,"nio")-SUMIFS('4-Basis ruimtestaat'!K:K,'4-Basis ruimtestaat'!B:B,'10-Vloeronderhoud'!A24,'4-Basis ruimtestaat'!J:J,"Linoleum",'4-Basis ruimtestaat'!H:H,"entree",'4-Basis ruimtestaat'!M:M,"nio")-SUMIFS('4-Basis ruimtestaat'!K:K,'4-Basis ruimtestaat'!B:B,'10-Vloeronderhoud'!A24,'4-Basis ruimtestaat'!J:J,"Linoleum",'4-Basis ruimtestaat'!H:H,"aula",'4-Basis ruimtestaat'!M:M,"nio")</f>
        <v>580.29999999999995</v>
      </c>
      <c r="F24" s="393">
        <f t="shared" si="0"/>
        <v>0</v>
      </c>
      <c r="G24" s="394">
        <f t="shared" si="1"/>
        <v>0</v>
      </c>
      <c r="H24" s="395" t="s">
        <v>178</v>
      </c>
      <c r="I24" s="394">
        <f t="shared" si="2"/>
        <v>0</v>
      </c>
    </row>
    <row r="25" spans="1:9">
      <c r="A25" s="159" t="s">
        <v>208</v>
      </c>
      <c r="B25" s="382" t="s">
        <v>70</v>
      </c>
      <c r="C25" s="382" t="s">
        <v>70</v>
      </c>
      <c r="D25" s="382" t="s">
        <v>173</v>
      </c>
      <c r="E25" s="392">
        <f>SUMIFS('4-Basis ruimtestaat'!K:K,'4-Basis ruimtestaat'!B:B,'10-Vloeronderhoud'!A25,'4-Basis ruimtestaat'!J:J,"linoleum",'4-Basis ruimtestaat'!H:H,"gang, hal")+SUMIFS('4-Basis ruimtestaat'!K:K,'4-Basis ruimtestaat'!B:B,'10-Vloeronderhoud'!A25,'4-Basis ruimtestaat'!J:J,"linoleum",'4-Basis ruimtestaat'!H:H,"entree")+SUMIFS('4-Basis ruimtestaat'!K:K,'4-Basis ruimtestaat'!B:B,'10-Vloeronderhoud'!A25,'4-Basis ruimtestaat'!J:J,"linoleum",'4-Basis ruimtestaat'!H:H,"aula")-SUMIFS('4-Basis ruimtestaat'!K:K,'4-Basis ruimtestaat'!B:B,'10-Vloeronderhoud'!A25,'4-Basis ruimtestaat'!J:J,"Linoleum",'4-Basis ruimtestaat'!H:H,"gang, hal",'4-Basis ruimtestaat'!M:M,"nio")-SUMIFS('4-Basis ruimtestaat'!K:K,'4-Basis ruimtestaat'!B:B,'10-Vloeronderhoud'!A25,'4-Basis ruimtestaat'!J:J,"Linoleum",'4-Basis ruimtestaat'!H:H,"entree",'4-Basis ruimtestaat'!M:M,"nio")-SUMIFS('4-Basis ruimtestaat'!K:K,'4-Basis ruimtestaat'!B:B,'10-Vloeronderhoud'!A25,'4-Basis ruimtestaat'!J:J,"Linoleum",'4-Basis ruimtestaat'!H:H,"aula",'4-Basis ruimtestaat'!M:M,"nio")</f>
        <v>355.8</v>
      </c>
      <c r="F25" s="393">
        <f t="shared" si="0"/>
        <v>0</v>
      </c>
      <c r="G25" s="394">
        <f t="shared" si="1"/>
        <v>0</v>
      </c>
      <c r="H25" s="395" t="s">
        <v>178</v>
      </c>
      <c r="I25" s="394">
        <f t="shared" si="2"/>
        <v>0</v>
      </c>
    </row>
    <row r="26" spans="1:9">
      <c r="A26" s="159" t="s">
        <v>209</v>
      </c>
      <c r="B26" s="382" t="s">
        <v>70</v>
      </c>
      <c r="C26" s="382" t="s">
        <v>70</v>
      </c>
      <c r="D26" s="382" t="s">
        <v>173</v>
      </c>
      <c r="E26" s="392">
        <f>SUMIFS('4-Basis ruimtestaat'!K:K,'4-Basis ruimtestaat'!B:B,'10-Vloeronderhoud'!A26,'4-Basis ruimtestaat'!J:J,"linoleum",'4-Basis ruimtestaat'!H:H,"gang, hal")+SUMIFS('4-Basis ruimtestaat'!K:K,'4-Basis ruimtestaat'!B:B,'10-Vloeronderhoud'!A26,'4-Basis ruimtestaat'!J:J,"linoleum",'4-Basis ruimtestaat'!H:H,"entree")+SUMIFS('4-Basis ruimtestaat'!K:K,'4-Basis ruimtestaat'!B:B,'10-Vloeronderhoud'!A26,'4-Basis ruimtestaat'!J:J,"linoleum",'4-Basis ruimtestaat'!H:H,"aula")-SUMIFS('4-Basis ruimtestaat'!K:K,'4-Basis ruimtestaat'!B:B,'10-Vloeronderhoud'!A26,'4-Basis ruimtestaat'!J:J,"Linoleum",'4-Basis ruimtestaat'!H:H,"gang, hal",'4-Basis ruimtestaat'!M:M,"nio")-SUMIFS('4-Basis ruimtestaat'!K:K,'4-Basis ruimtestaat'!B:B,'10-Vloeronderhoud'!A26,'4-Basis ruimtestaat'!J:J,"Linoleum",'4-Basis ruimtestaat'!H:H,"entree",'4-Basis ruimtestaat'!M:M,"nio")-SUMIFS('4-Basis ruimtestaat'!K:K,'4-Basis ruimtestaat'!B:B,'10-Vloeronderhoud'!A26,'4-Basis ruimtestaat'!J:J,"Linoleum",'4-Basis ruimtestaat'!H:H,"aula",'4-Basis ruimtestaat'!M:M,"nio")</f>
        <v>287.60000000000002</v>
      </c>
      <c r="F26" s="393">
        <f t="shared" si="0"/>
        <v>0</v>
      </c>
      <c r="G26" s="394">
        <f t="shared" si="1"/>
        <v>0</v>
      </c>
      <c r="H26" s="395" t="s">
        <v>178</v>
      </c>
      <c r="I26" s="394">
        <f t="shared" si="2"/>
        <v>0</v>
      </c>
    </row>
    <row r="27" spans="1:9">
      <c r="A27" s="159" t="s">
        <v>217</v>
      </c>
      <c r="B27" s="382" t="s">
        <v>70</v>
      </c>
      <c r="C27" s="382" t="s">
        <v>70</v>
      </c>
      <c r="D27" s="382" t="s">
        <v>173</v>
      </c>
      <c r="E27" s="392">
        <f>SUMIFS('4-Basis ruimtestaat'!K:K,'4-Basis ruimtestaat'!B:B,'10-Vloeronderhoud'!A27,'4-Basis ruimtestaat'!J:J,"linoleum",'4-Basis ruimtestaat'!H:H,"gang, hal")+SUMIFS('4-Basis ruimtestaat'!K:K,'4-Basis ruimtestaat'!B:B,'10-Vloeronderhoud'!A27,'4-Basis ruimtestaat'!J:J,"linoleum",'4-Basis ruimtestaat'!H:H,"entree")+SUMIFS('4-Basis ruimtestaat'!K:K,'4-Basis ruimtestaat'!B:B,'10-Vloeronderhoud'!A27,'4-Basis ruimtestaat'!J:J,"linoleum",'4-Basis ruimtestaat'!H:H,"aula")-SUMIFS('4-Basis ruimtestaat'!K:K,'4-Basis ruimtestaat'!B:B,'10-Vloeronderhoud'!A27,'4-Basis ruimtestaat'!J:J,"Linoleum",'4-Basis ruimtestaat'!H:H,"gang, hal",'4-Basis ruimtestaat'!M:M,"nio")-SUMIFS('4-Basis ruimtestaat'!K:K,'4-Basis ruimtestaat'!B:B,'10-Vloeronderhoud'!A27,'4-Basis ruimtestaat'!J:J,"Linoleum",'4-Basis ruimtestaat'!H:H,"entree",'4-Basis ruimtestaat'!M:M,"nio")-SUMIFS('4-Basis ruimtestaat'!K:K,'4-Basis ruimtestaat'!B:B,'10-Vloeronderhoud'!A27,'4-Basis ruimtestaat'!J:J,"Linoleum",'4-Basis ruimtestaat'!H:H,"aula",'4-Basis ruimtestaat'!M:M,"nio")</f>
        <v>105.30000000000001</v>
      </c>
      <c r="F27" s="393">
        <f t="shared" si="0"/>
        <v>0</v>
      </c>
      <c r="G27" s="394">
        <f t="shared" si="1"/>
        <v>0</v>
      </c>
      <c r="H27" s="395" t="s">
        <v>178</v>
      </c>
      <c r="I27" s="394">
        <f t="shared" si="2"/>
        <v>0</v>
      </c>
    </row>
    <row r="28" spans="1:9">
      <c r="A28" s="159" t="s">
        <v>203</v>
      </c>
      <c r="B28" s="382" t="s">
        <v>70</v>
      </c>
      <c r="C28" s="382" t="s">
        <v>70</v>
      </c>
      <c r="D28" s="382" t="s">
        <v>174</v>
      </c>
      <c r="E28" s="392">
        <f>SUMIFS('4-Basis ruimtestaat'!K:K,'4-Basis ruimtestaat'!B:B,'10-Vloeronderhoud'!A28,'4-Basis ruimtestaat'!J:J,"linoleum")-SUMIFS('4-Basis ruimtestaat'!K:K,'4-Basis ruimtestaat'!B:B,'10-Vloeronderhoud'!A28,'4-Basis ruimtestaat'!J:J,"linoleum",'4-Basis ruimtestaat'!M:M,"nio")</f>
        <v>924.2</v>
      </c>
      <c r="F28" s="393">
        <f t="shared" si="0"/>
        <v>0</v>
      </c>
      <c r="G28" s="394">
        <f t="shared" si="1"/>
        <v>0</v>
      </c>
      <c r="H28" s="395" t="s">
        <v>178</v>
      </c>
      <c r="I28" s="394">
        <f t="shared" si="2"/>
        <v>0</v>
      </c>
    </row>
    <row r="29" spans="1:9">
      <c r="A29" s="159" t="s">
        <v>205</v>
      </c>
      <c r="B29" s="382" t="s">
        <v>70</v>
      </c>
      <c r="C29" s="382" t="s">
        <v>70</v>
      </c>
      <c r="D29" s="382" t="s">
        <v>174</v>
      </c>
      <c r="E29" s="392">
        <f>SUMIFS('4-Basis ruimtestaat'!K:K,'4-Basis ruimtestaat'!B:B,'10-Vloeronderhoud'!A29,'4-Basis ruimtestaat'!J:J,"linoleum")-SUMIFS('4-Basis ruimtestaat'!K:K,'4-Basis ruimtestaat'!B:B,'10-Vloeronderhoud'!A29,'4-Basis ruimtestaat'!J:J,"linoleum",'4-Basis ruimtestaat'!M:M,"nio")</f>
        <v>936.53999999999974</v>
      </c>
      <c r="F29" s="393">
        <f t="shared" si="0"/>
        <v>0</v>
      </c>
      <c r="G29" s="394">
        <f t="shared" si="1"/>
        <v>0</v>
      </c>
      <c r="H29" s="395" t="s">
        <v>178</v>
      </c>
      <c r="I29" s="394">
        <f t="shared" si="2"/>
        <v>0</v>
      </c>
    </row>
    <row r="30" spans="1:9">
      <c r="A30" s="159" t="s">
        <v>210</v>
      </c>
      <c r="B30" s="382" t="s">
        <v>70</v>
      </c>
      <c r="C30" s="382" t="s">
        <v>70</v>
      </c>
      <c r="D30" s="382" t="s">
        <v>174</v>
      </c>
      <c r="E30" s="392">
        <f>SUMIFS('4-Basis ruimtestaat'!K:K,'4-Basis ruimtestaat'!B:B,'10-Vloeronderhoud'!A30,'4-Basis ruimtestaat'!J:J,"linoleum")-SUMIFS('4-Basis ruimtestaat'!K:K,'4-Basis ruimtestaat'!B:B,'10-Vloeronderhoud'!A30,'4-Basis ruimtestaat'!J:J,"linoleum",'4-Basis ruimtestaat'!M:M,"nio")</f>
        <v>1338.6999999999998</v>
      </c>
      <c r="F30" s="393">
        <f t="shared" si="0"/>
        <v>0</v>
      </c>
      <c r="G30" s="394">
        <f t="shared" si="1"/>
        <v>0</v>
      </c>
      <c r="H30" s="395" t="s">
        <v>178</v>
      </c>
      <c r="I30" s="394">
        <f t="shared" si="2"/>
        <v>0</v>
      </c>
    </row>
    <row r="31" spans="1:9">
      <c r="A31" s="67" t="s">
        <v>712</v>
      </c>
      <c r="B31" s="382" t="s">
        <v>70</v>
      </c>
      <c r="C31" s="382" t="s">
        <v>70</v>
      </c>
      <c r="D31" s="382" t="s">
        <v>174</v>
      </c>
      <c r="E31" s="392">
        <f>SUMIFS('4-Basis ruimtestaat'!K:K,'4-Basis ruimtestaat'!B:B,'10-Vloeronderhoud'!A31,'4-Basis ruimtestaat'!J:J,"linoleum")-SUMIFS('4-Basis ruimtestaat'!K:K,'4-Basis ruimtestaat'!B:B,'10-Vloeronderhoud'!A31,'4-Basis ruimtestaat'!J:J,"linoleum",'4-Basis ruimtestaat'!M:M,"nio")</f>
        <v>1152.5999999999999</v>
      </c>
      <c r="F31" s="393">
        <f t="shared" si="0"/>
        <v>0</v>
      </c>
      <c r="G31" s="394">
        <f t="shared" si="1"/>
        <v>0</v>
      </c>
      <c r="H31" s="395" t="s">
        <v>178</v>
      </c>
      <c r="I31" s="394">
        <f t="shared" si="2"/>
        <v>0</v>
      </c>
    </row>
    <row r="32" spans="1:9">
      <c r="A32" s="159" t="s">
        <v>211</v>
      </c>
      <c r="B32" s="382" t="s">
        <v>70</v>
      </c>
      <c r="C32" s="382" t="s">
        <v>70</v>
      </c>
      <c r="D32" s="382" t="s">
        <v>174</v>
      </c>
      <c r="E32" s="392">
        <f>SUMIFS('4-Basis ruimtestaat'!K:K,'4-Basis ruimtestaat'!B:B,'10-Vloeronderhoud'!A32,'4-Basis ruimtestaat'!J:J,"linoleum")-SUMIFS('4-Basis ruimtestaat'!K:K,'4-Basis ruimtestaat'!B:B,'10-Vloeronderhoud'!A32,'4-Basis ruimtestaat'!J:J,"linoleum",'4-Basis ruimtestaat'!M:M,"nio")</f>
        <v>1055</v>
      </c>
      <c r="F32" s="393">
        <f t="shared" si="0"/>
        <v>0</v>
      </c>
      <c r="G32" s="394">
        <f t="shared" si="1"/>
        <v>0</v>
      </c>
      <c r="H32" s="395" t="s">
        <v>178</v>
      </c>
      <c r="I32" s="394">
        <f t="shared" si="2"/>
        <v>0</v>
      </c>
    </row>
    <row r="33" spans="1:9">
      <c r="A33" s="159" t="s">
        <v>212</v>
      </c>
      <c r="B33" s="382" t="s">
        <v>70</v>
      </c>
      <c r="C33" s="382" t="s">
        <v>70</v>
      </c>
      <c r="D33" s="382" t="s">
        <v>174</v>
      </c>
      <c r="E33" s="392">
        <f>SUMIFS('4-Basis ruimtestaat'!K:K,'4-Basis ruimtestaat'!B:B,'10-Vloeronderhoud'!A33,'4-Basis ruimtestaat'!J:J,"linoleum")-SUMIFS('4-Basis ruimtestaat'!K:K,'4-Basis ruimtestaat'!B:B,'10-Vloeronderhoud'!A33,'4-Basis ruimtestaat'!J:J,"linoleum",'4-Basis ruimtestaat'!M:M,"nio")</f>
        <v>921.5999999999998</v>
      </c>
      <c r="F33" s="393">
        <f t="shared" si="0"/>
        <v>0</v>
      </c>
      <c r="G33" s="394">
        <f t="shared" si="1"/>
        <v>0</v>
      </c>
      <c r="H33" s="395" t="s">
        <v>178</v>
      </c>
      <c r="I33" s="394">
        <f t="shared" si="2"/>
        <v>0</v>
      </c>
    </row>
    <row r="34" spans="1:9">
      <c r="A34" s="159" t="s">
        <v>213</v>
      </c>
      <c r="B34" s="382" t="s">
        <v>70</v>
      </c>
      <c r="C34" s="382" t="s">
        <v>70</v>
      </c>
      <c r="D34" s="382" t="s">
        <v>174</v>
      </c>
      <c r="E34" s="392">
        <f>SUMIFS('4-Basis ruimtestaat'!K:K,'4-Basis ruimtestaat'!B:B,'10-Vloeronderhoud'!A34,'4-Basis ruimtestaat'!J:J,"linoleum")-SUMIFS('4-Basis ruimtestaat'!K:K,'4-Basis ruimtestaat'!B:B,'10-Vloeronderhoud'!A34,'4-Basis ruimtestaat'!J:J,"linoleum",'4-Basis ruimtestaat'!M:M,"nio")</f>
        <v>831.60000000000014</v>
      </c>
      <c r="F34" s="393">
        <f t="shared" si="0"/>
        <v>0</v>
      </c>
      <c r="G34" s="394">
        <f t="shared" si="1"/>
        <v>0</v>
      </c>
      <c r="H34" s="395" t="s">
        <v>178</v>
      </c>
      <c r="I34" s="394">
        <f t="shared" si="2"/>
        <v>0</v>
      </c>
    </row>
    <row r="35" spans="1:9">
      <c r="A35" s="159" t="s">
        <v>214</v>
      </c>
      <c r="B35" s="382" t="s">
        <v>70</v>
      </c>
      <c r="C35" s="382" t="s">
        <v>70</v>
      </c>
      <c r="D35" s="382" t="s">
        <v>174</v>
      </c>
      <c r="E35" s="392">
        <f>SUMIFS('4-Basis ruimtestaat'!K:K,'4-Basis ruimtestaat'!B:B,'10-Vloeronderhoud'!A35,'4-Basis ruimtestaat'!J:J,"linoleum")-SUMIFS('4-Basis ruimtestaat'!K:K,'4-Basis ruimtestaat'!B:B,'10-Vloeronderhoud'!A35,'4-Basis ruimtestaat'!J:J,"linoleum",'4-Basis ruimtestaat'!M:M,"nio")</f>
        <v>514.4</v>
      </c>
      <c r="F35" s="393">
        <f t="shared" si="0"/>
        <v>0</v>
      </c>
      <c r="G35" s="394">
        <f t="shared" si="1"/>
        <v>0</v>
      </c>
      <c r="H35" s="395" t="s">
        <v>178</v>
      </c>
      <c r="I35" s="394">
        <f t="shared" si="2"/>
        <v>0</v>
      </c>
    </row>
    <row r="36" spans="1:9">
      <c r="A36" s="159" t="s">
        <v>215</v>
      </c>
      <c r="B36" s="382" t="s">
        <v>70</v>
      </c>
      <c r="C36" s="382" t="s">
        <v>70</v>
      </c>
      <c r="D36" s="382" t="s">
        <v>174</v>
      </c>
      <c r="E36" s="392">
        <f>SUMIFS('4-Basis ruimtestaat'!K:K,'4-Basis ruimtestaat'!B:B,'10-Vloeronderhoud'!A36,'4-Basis ruimtestaat'!J:J,"linoleum")-SUMIFS('4-Basis ruimtestaat'!K:K,'4-Basis ruimtestaat'!B:B,'10-Vloeronderhoud'!A36,'4-Basis ruimtestaat'!J:J,"linoleum",'4-Basis ruimtestaat'!M:M,"nio")</f>
        <v>432.79999999999995</v>
      </c>
      <c r="F36" s="393">
        <f t="shared" si="0"/>
        <v>0</v>
      </c>
      <c r="G36" s="394">
        <f t="shared" si="1"/>
        <v>0</v>
      </c>
      <c r="H36" s="395" t="s">
        <v>178</v>
      </c>
      <c r="I36" s="394">
        <f t="shared" si="2"/>
        <v>0</v>
      </c>
    </row>
    <row r="37" spans="1:9">
      <c r="A37" s="159" t="s">
        <v>216</v>
      </c>
      <c r="B37" s="382" t="s">
        <v>70</v>
      </c>
      <c r="C37" s="382" t="s">
        <v>70</v>
      </c>
      <c r="D37" s="382" t="s">
        <v>174</v>
      </c>
      <c r="E37" s="392">
        <f>SUMIFS('4-Basis ruimtestaat'!K:K,'4-Basis ruimtestaat'!B:B,'10-Vloeronderhoud'!A37,'4-Basis ruimtestaat'!J:J,"linoleum")-SUMIFS('4-Basis ruimtestaat'!K:K,'4-Basis ruimtestaat'!B:B,'10-Vloeronderhoud'!A37,'4-Basis ruimtestaat'!J:J,"linoleum",'4-Basis ruimtestaat'!M:M,"nio")</f>
        <v>1326.1</v>
      </c>
      <c r="F37" s="393">
        <f t="shared" ref="F37:F40" si="3">VLOOKUP(D37,$F$3:$G$10,2,FALSE)</f>
        <v>0</v>
      </c>
      <c r="G37" s="394">
        <f t="shared" ref="G37:G40" si="4">(E37*F37)</f>
        <v>0</v>
      </c>
      <c r="H37" s="395" t="s">
        <v>178</v>
      </c>
      <c r="I37" s="394">
        <f t="shared" si="2"/>
        <v>0</v>
      </c>
    </row>
    <row r="38" spans="1:9">
      <c r="A38" s="159" t="s">
        <v>219</v>
      </c>
      <c r="B38" s="382" t="s">
        <v>70</v>
      </c>
      <c r="C38" s="382" t="s">
        <v>70</v>
      </c>
      <c r="D38" s="382" t="s">
        <v>174</v>
      </c>
      <c r="E38" s="392">
        <f>SUMIFS('4-Basis ruimtestaat'!K:K,'4-Basis ruimtestaat'!B:B,'10-Vloeronderhoud'!A38,'4-Basis ruimtestaat'!J:J,"linoleum")-SUMIFS('4-Basis ruimtestaat'!K:K,'4-Basis ruimtestaat'!B:B,'10-Vloeronderhoud'!A38,'4-Basis ruimtestaat'!J:J,"linoleum",'4-Basis ruimtestaat'!M:M,"nio")</f>
        <v>1701.6</v>
      </c>
      <c r="F38" s="393">
        <f t="shared" si="3"/>
        <v>0</v>
      </c>
      <c r="G38" s="394">
        <f t="shared" si="4"/>
        <v>0</v>
      </c>
      <c r="H38" s="395" t="s">
        <v>178</v>
      </c>
      <c r="I38" s="394">
        <f t="shared" si="2"/>
        <v>0</v>
      </c>
    </row>
    <row r="39" spans="1:9">
      <c r="A39" s="159" t="s">
        <v>207</v>
      </c>
      <c r="B39" s="382" t="s">
        <v>70</v>
      </c>
      <c r="C39" s="382" t="s">
        <v>70</v>
      </c>
      <c r="D39" s="382" t="s">
        <v>174</v>
      </c>
      <c r="E39" s="392">
        <f>SUMIFS('4-Basis ruimtestaat'!K:K,'4-Basis ruimtestaat'!B:B,'10-Vloeronderhoud'!A39,'4-Basis ruimtestaat'!J:J,"linoleum")-SUMIFS('4-Basis ruimtestaat'!K:K,'4-Basis ruimtestaat'!B:B,'10-Vloeronderhoud'!A39,'4-Basis ruimtestaat'!J:J,"linoleum",'4-Basis ruimtestaat'!M:M,"nio")</f>
        <v>1518.8000000000002</v>
      </c>
      <c r="F39" s="393">
        <f t="shared" si="3"/>
        <v>0</v>
      </c>
      <c r="G39" s="394">
        <f t="shared" si="4"/>
        <v>0</v>
      </c>
      <c r="H39" s="395" t="s">
        <v>178</v>
      </c>
      <c r="I39" s="394">
        <f t="shared" si="2"/>
        <v>0</v>
      </c>
    </row>
    <row r="40" spans="1:9">
      <c r="A40" s="159" t="s">
        <v>208</v>
      </c>
      <c r="B40" s="382" t="s">
        <v>70</v>
      </c>
      <c r="C40" s="382" t="s">
        <v>70</v>
      </c>
      <c r="D40" s="382" t="s">
        <v>174</v>
      </c>
      <c r="E40" s="392">
        <f>SUMIFS('4-Basis ruimtestaat'!K:K,'4-Basis ruimtestaat'!B:B,'10-Vloeronderhoud'!A40,'4-Basis ruimtestaat'!J:J,"linoleum")-SUMIFS('4-Basis ruimtestaat'!K:K,'4-Basis ruimtestaat'!B:B,'10-Vloeronderhoud'!A40,'4-Basis ruimtestaat'!J:J,"linoleum",'4-Basis ruimtestaat'!M:M,"nio")</f>
        <v>1256.0999999999997</v>
      </c>
      <c r="F40" s="393">
        <f t="shared" si="3"/>
        <v>0</v>
      </c>
      <c r="G40" s="394">
        <f t="shared" si="4"/>
        <v>0</v>
      </c>
      <c r="H40" s="395" t="s">
        <v>178</v>
      </c>
      <c r="I40" s="394">
        <f t="shared" si="2"/>
        <v>0</v>
      </c>
    </row>
    <row r="41" spans="1:9">
      <c r="A41" s="159" t="s">
        <v>209</v>
      </c>
      <c r="B41" s="382" t="s">
        <v>70</v>
      </c>
      <c r="C41" s="382" t="s">
        <v>70</v>
      </c>
      <c r="D41" s="382" t="s">
        <v>174</v>
      </c>
      <c r="E41" s="392">
        <f>SUMIFS('4-Basis ruimtestaat'!K:K,'4-Basis ruimtestaat'!B:B,'10-Vloeronderhoud'!A41,'4-Basis ruimtestaat'!J:J,"linoleum")-SUMIFS('4-Basis ruimtestaat'!K:K,'4-Basis ruimtestaat'!B:B,'10-Vloeronderhoud'!A41,'4-Basis ruimtestaat'!J:J,"linoleum",'4-Basis ruimtestaat'!M:M,"nio")</f>
        <v>1098.3999999999999</v>
      </c>
      <c r="F41" s="393">
        <f t="shared" ref="F41:F52" si="5">VLOOKUP(D41,$F$3:$G$10,2,FALSE)</f>
        <v>0</v>
      </c>
      <c r="G41" s="394">
        <f t="shared" ref="G41:G52" si="6">(E41*F41)</f>
        <v>0</v>
      </c>
      <c r="H41" s="395" t="s">
        <v>178</v>
      </c>
      <c r="I41" s="394">
        <f t="shared" ref="I41:I52" si="7">H41*G41</f>
        <v>0</v>
      </c>
    </row>
    <row r="42" spans="1:9">
      <c r="A42" s="159" t="s">
        <v>217</v>
      </c>
      <c r="B42" s="382" t="s">
        <v>70</v>
      </c>
      <c r="C42" s="382" t="s">
        <v>70</v>
      </c>
      <c r="D42" s="382" t="s">
        <v>174</v>
      </c>
      <c r="E42" s="392">
        <f>SUMIFS('4-Basis ruimtestaat'!K:K,'4-Basis ruimtestaat'!B:B,'10-Vloeronderhoud'!A42,'4-Basis ruimtestaat'!J:J,"linoleum")-SUMIFS('4-Basis ruimtestaat'!K:K,'4-Basis ruimtestaat'!B:B,'10-Vloeronderhoud'!A42,'4-Basis ruimtestaat'!J:J,"linoleum",'4-Basis ruimtestaat'!M:M,"nio")</f>
        <v>457.30000000000007</v>
      </c>
      <c r="F42" s="393">
        <f t="shared" si="5"/>
        <v>0</v>
      </c>
      <c r="G42" s="394">
        <f t="shared" si="6"/>
        <v>0</v>
      </c>
      <c r="H42" s="395" t="s">
        <v>178</v>
      </c>
      <c r="I42" s="394">
        <f t="shared" si="7"/>
        <v>0</v>
      </c>
    </row>
    <row r="43" spans="1:9">
      <c r="A43" s="159" t="s">
        <v>218</v>
      </c>
      <c r="B43" s="382" t="s">
        <v>705</v>
      </c>
      <c r="C43" s="382" t="s">
        <v>70</v>
      </c>
      <c r="D43" s="382" t="s">
        <v>175</v>
      </c>
      <c r="E43" s="392">
        <f>SUMIFS('4-Basis ruimtestaat'!K:K,'4-Basis ruimtestaat'!B:B,'10-Vloeronderhoud'!A43,'4-Basis ruimtestaat'!I:I,"PU-coating")-SUMIFS('4-Basis ruimtestaat'!K:K,'4-Basis ruimtestaat'!B:B,'10-Vloeronderhoud'!A43,'4-Basis ruimtestaat'!I:I,"PU-coating",'4-Basis ruimtestaat'!M:M,"nio")</f>
        <v>1085.0000000000002</v>
      </c>
      <c r="F43" s="393">
        <f t="shared" si="5"/>
        <v>0</v>
      </c>
      <c r="G43" s="394">
        <f t="shared" si="6"/>
        <v>0</v>
      </c>
      <c r="H43" s="395" t="s">
        <v>178</v>
      </c>
      <c r="I43" s="394">
        <f t="shared" si="7"/>
        <v>0</v>
      </c>
    </row>
    <row r="44" spans="1:9">
      <c r="A44" s="67" t="s">
        <v>206</v>
      </c>
      <c r="B44" s="382" t="s">
        <v>705</v>
      </c>
      <c r="C44" s="382" t="s">
        <v>70</v>
      </c>
      <c r="D44" s="382" t="s">
        <v>175</v>
      </c>
      <c r="E44" s="392">
        <f>SUMIFS('4-Basis ruimtestaat'!K:K,'4-Basis ruimtestaat'!B:B,'10-Vloeronderhoud'!A44,'4-Basis ruimtestaat'!I:I,"PU-coating")-SUMIFS('4-Basis ruimtestaat'!K:K,'4-Basis ruimtestaat'!B:B,'10-Vloeronderhoud'!A44,'4-Basis ruimtestaat'!I:I,"PU-coating",'4-Basis ruimtestaat'!M:M,"nio")</f>
        <v>1915.1699999999998</v>
      </c>
      <c r="F44" s="393">
        <f t="shared" ref="F44" si="8">VLOOKUP(D44,$F$3:$G$10,2,FALSE)</f>
        <v>0</v>
      </c>
      <c r="G44" s="394">
        <f t="shared" ref="G44" si="9">(E44*F44)</f>
        <v>0</v>
      </c>
      <c r="H44" s="395" t="s">
        <v>178</v>
      </c>
      <c r="I44" s="394">
        <f t="shared" ref="I44" si="10">H44*G44</f>
        <v>0</v>
      </c>
    </row>
    <row r="45" spans="1:9">
      <c r="A45" s="159" t="s">
        <v>204</v>
      </c>
      <c r="B45" s="382" t="s">
        <v>706</v>
      </c>
      <c r="C45" s="382" t="s">
        <v>179</v>
      </c>
      <c r="D45" s="382" t="s">
        <v>175</v>
      </c>
      <c r="E45" s="392">
        <f>SUMIFS('4-Basis ruimtestaat'!K:K,'4-Basis ruimtestaat'!B:B,'10-Vloeronderhoud'!A45,'4-Basis ruimtestaat'!J:J,"Harde vloer zonder waslaag (sanitair)")-SUMIFS('4-Basis ruimtestaat'!K:K,'4-Basis ruimtestaat'!B:B,'10-Vloeronderhoud'!A45,'4-Basis ruimtestaat'!J:J,"Harde vloer zonder waslaag (sanitair)",'4-Basis ruimtestaat'!M:M,"nio")</f>
        <v>56.5</v>
      </c>
      <c r="F45" s="393">
        <f t="shared" si="5"/>
        <v>0</v>
      </c>
      <c r="G45" s="394">
        <f t="shared" si="6"/>
        <v>0</v>
      </c>
      <c r="H45" s="395" t="s">
        <v>710</v>
      </c>
      <c r="I45" s="394">
        <f t="shared" si="7"/>
        <v>0</v>
      </c>
    </row>
    <row r="46" spans="1:9">
      <c r="A46" s="159" t="s">
        <v>203</v>
      </c>
      <c r="B46" s="382" t="s">
        <v>706</v>
      </c>
      <c r="C46" s="382" t="s">
        <v>179</v>
      </c>
      <c r="D46" s="382" t="s">
        <v>175</v>
      </c>
      <c r="E46" s="392">
        <f>SUMIFS('4-Basis ruimtestaat'!K:K,'4-Basis ruimtestaat'!B:B,'10-Vloeronderhoud'!A46,'4-Basis ruimtestaat'!J:J,"Harde vloer zonder waslaag (sanitair)")-SUMIFS('4-Basis ruimtestaat'!K:K,'4-Basis ruimtestaat'!B:B,'10-Vloeronderhoud'!A46,'4-Basis ruimtestaat'!J:J,"Harde vloer zonder waslaag (sanitair)",'4-Basis ruimtestaat'!M:M,"nio")</f>
        <v>31.399999999999995</v>
      </c>
      <c r="F46" s="393">
        <f t="shared" si="5"/>
        <v>0</v>
      </c>
      <c r="G46" s="394">
        <f t="shared" si="6"/>
        <v>0</v>
      </c>
      <c r="H46" s="395" t="s">
        <v>710</v>
      </c>
      <c r="I46" s="394">
        <f t="shared" si="7"/>
        <v>0</v>
      </c>
    </row>
    <row r="47" spans="1:9">
      <c r="A47" s="159" t="s">
        <v>205</v>
      </c>
      <c r="B47" s="382" t="s">
        <v>706</v>
      </c>
      <c r="C47" s="382" t="s">
        <v>179</v>
      </c>
      <c r="D47" s="382" t="s">
        <v>175</v>
      </c>
      <c r="E47" s="392">
        <f>SUMIFS('4-Basis ruimtestaat'!K:K,'4-Basis ruimtestaat'!B:B,'10-Vloeronderhoud'!A47,'4-Basis ruimtestaat'!J:J,"Harde vloer zonder waslaag (sanitair)")-SUMIFS('4-Basis ruimtestaat'!K:K,'4-Basis ruimtestaat'!B:B,'10-Vloeronderhoud'!A47,'4-Basis ruimtestaat'!J:J,"Harde vloer zonder waslaag (sanitair)",'4-Basis ruimtestaat'!M:M,"nio")</f>
        <v>43.699999999999996</v>
      </c>
      <c r="F47" s="393">
        <f t="shared" si="5"/>
        <v>0</v>
      </c>
      <c r="G47" s="394">
        <f t="shared" si="6"/>
        <v>0</v>
      </c>
      <c r="H47" s="395" t="s">
        <v>710</v>
      </c>
      <c r="I47" s="394">
        <f t="shared" si="7"/>
        <v>0</v>
      </c>
    </row>
    <row r="48" spans="1:9">
      <c r="A48" s="159" t="s">
        <v>210</v>
      </c>
      <c r="B48" s="382" t="s">
        <v>706</v>
      </c>
      <c r="C48" s="382" t="s">
        <v>179</v>
      </c>
      <c r="D48" s="382" t="s">
        <v>175</v>
      </c>
      <c r="E48" s="392">
        <f>SUMIFS('4-Basis ruimtestaat'!K:K,'4-Basis ruimtestaat'!B:B,'10-Vloeronderhoud'!A48,'4-Basis ruimtestaat'!J:J,"Harde vloer zonder waslaag (sanitair)")-SUMIFS('4-Basis ruimtestaat'!K:K,'4-Basis ruimtestaat'!B:B,'10-Vloeronderhoud'!A48,'4-Basis ruimtestaat'!J:J,"Harde vloer zonder waslaag (sanitair)",'4-Basis ruimtestaat'!M:M,"nio")</f>
        <v>44.3</v>
      </c>
      <c r="F48" s="393">
        <f t="shared" si="5"/>
        <v>0</v>
      </c>
      <c r="G48" s="394">
        <f t="shared" si="6"/>
        <v>0</v>
      </c>
      <c r="H48" s="395" t="s">
        <v>710</v>
      </c>
      <c r="I48" s="394">
        <f t="shared" si="7"/>
        <v>0</v>
      </c>
    </row>
    <row r="49" spans="1:9">
      <c r="A49" s="67" t="s">
        <v>712</v>
      </c>
      <c r="B49" s="382" t="s">
        <v>706</v>
      </c>
      <c r="C49" s="382" t="s">
        <v>179</v>
      </c>
      <c r="D49" s="382" t="s">
        <v>175</v>
      </c>
      <c r="E49" s="392">
        <f>SUMIFS('4-Basis ruimtestaat'!K:K,'4-Basis ruimtestaat'!B:B,'10-Vloeronderhoud'!A49,'4-Basis ruimtestaat'!J:J,"Harde vloer zonder waslaag (sanitair)")-SUMIFS('4-Basis ruimtestaat'!K:K,'4-Basis ruimtestaat'!B:B,'10-Vloeronderhoud'!A49,'4-Basis ruimtestaat'!J:J,"Harde vloer zonder waslaag (sanitair)",'4-Basis ruimtestaat'!M:M,"nio")</f>
        <v>48.4</v>
      </c>
      <c r="F49" s="393">
        <f t="shared" si="5"/>
        <v>0</v>
      </c>
      <c r="G49" s="394">
        <f t="shared" si="6"/>
        <v>0</v>
      </c>
      <c r="H49" s="395" t="s">
        <v>710</v>
      </c>
      <c r="I49" s="394">
        <f t="shared" si="7"/>
        <v>0</v>
      </c>
    </row>
    <row r="50" spans="1:9">
      <c r="A50" s="159" t="s">
        <v>211</v>
      </c>
      <c r="B50" s="382" t="s">
        <v>706</v>
      </c>
      <c r="C50" s="382" t="s">
        <v>179</v>
      </c>
      <c r="D50" s="382" t="s">
        <v>175</v>
      </c>
      <c r="E50" s="392">
        <f>SUMIFS('4-Basis ruimtestaat'!K:K,'4-Basis ruimtestaat'!B:B,'10-Vloeronderhoud'!A50,'4-Basis ruimtestaat'!J:J,"Harde vloer zonder waslaag (sanitair)")-SUMIFS('4-Basis ruimtestaat'!K:K,'4-Basis ruimtestaat'!B:B,'10-Vloeronderhoud'!A50,'4-Basis ruimtestaat'!J:J,"Harde vloer zonder waslaag (sanitair)",'4-Basis ruimtestaat'!M:M,"nio")</f>
        <v>42.399999999999991</v>
      </c>
      <c r="F50" s="393">
        <f t="shared" si="5"/>
        <v>0</v>
      </c>
      <c r="G50" s="394">
        <f t="shared" si="6"/>
        <v>0</v>
      </c>
      <c r="H50" s="395" t="s">
        <v>710</v>
      </c>
      <c r="I50" s="394">
        <f t="shared" si="7"/>
        <v>0</v>
      </c>
    </row>
    <row r="51" spans="1:9">
      <c r="A51" s="159" t="s">
        <v>212</v>
      </c>
      <c r="B51" s="382" t="s">
        <v>706</v>
      </c>
      <c r="C51" s="382" t="s">
        <v>179</v>
      </c>
      <c r="D51" s="382" t="s">
        <v>175</v>
      </c>
      <c r="E51" s="392">
        <f>SUMIFS('4-Basis ruimtestaat'!K:K,'4-Basis ruimtestaat'!B:B,'10-Vloeronderhoud'!A51,'4-Basis ruimtestaat'!J:J,"Harde vloer zonder waslaag (sanitair)")-SUMIFS('4-Basis ruimtestaat'!K:K,'4-Basis ruimtestaat'!B:B,'10-Vloeronderhoud'!A51,'4-Basis ruimtestaat'!J:J,"Harde vloer zonder waslaag (sanitair)",'4-Basis ruimtestaat'!M:M,"nio")</f>
        <v>52.199999999999996</v>
      </c>
      <c r="F51" s="393">
        <f t="shared" si="5"/>
        <v>0</v>
      </c>
      <c r="G51" s="394">
        <f t="shared" si="6"/>
        <v>0</v>
      </c>
      <c r="H51" s="395" t="s">
        <v>710</v>
      </c>
      <c r="I51" s="394">
        <f t="shared" si="7"/>
        <v>0</v>
      </c>
    </row>
    <row r="52" spans="1:9">
      <c r="A52" s="159" t="s">
        <v>213</v>
      </c>
      <c r="B52" s="382" t="s">
        <v>706</v>
      </c>
      <c r="C52" s="382" t="s">
        <v>179</v>
      </c>
      <c r="D52" s="382" t="s">
        <v>175</v>
      </c>
      <c r="E52" s="392">
        <f>SUMIFS('4-Basis ruimtestaat'!K:K,'4-Basis ruimtestaat'!B:B,'10-Vloeronderhoud'!A52,'4-Basis ruimtestaat'!J:J,"Harde vloer zonder waslaag (sanitair)")-SUMIFS('4-Basis ruimtestaat'!K:K,'4-Basis ruimtestaat'!B:B,'10-Vloeronderhoud'!A52,'4-Basis ruimtestaat'!J:J,"Harde vloer zonder waslaag (sanitair)",'4-Basis ruimtestaat'!M:M,"nio")</f>
        <v>37.299999999999997</v>
      </c>
      <c r="F52" s="393">
        <f t="shared" si="5"/>
        <v>0</v>
      </c>
      <c r="G52" s="394">
        <f t="shared" si="6"/>
        <v>0</v>
      </c>
      <c r="H52" s="395" t="s">
        <v>710</v>
      </c>
      <c r="I52" s="394">
        <f t="shared" si="7"/>
        <v>0</v>
      </c>
    </row>
    <row r="53" spans="1:9">
      <c r="A53" s="159" t="s">
        <v>214</v>
      </c>
      <c r="B53" s="382" t="s">
        <v>706</v>
      </c>
      <c r="C53" s="382" t="s">
        <v>179</v>
      </c>
      <c r="D53" s="382" t="s">
        <v>175</v>
      </c>
      <c r="E53" s="392">
        <f>SUMIFS('4-Basis ruimtestaat'!K:K,'4-Basis ruimtestaat'!B:B,'10-Vloeronderhoud'!A53,'4-Basis ruimtestaat'!J:J,"Harde vloer zonder waslaag (sanitair)")-SUMIFS('4-Basis ruimtestaat'!K:K,'4-Basis ruimtestaat'!B:B,'10-Vloeronderhoud'!A53,'4-Basis ruimtestaat'!J:J,"Harde vloer zonder waslaag (sanitair)",'4-Basis ruimtestaat'!M:M,"nio")</f>
        <v>17.399999999999999</v>
      </c>
      <c r="F53" s="393">
        <f t="shared" ref="F53:F79" si="11">VLOOKUP(D53,$F$3:$G$10,2,FALSE)</f>
        <v>0</v>
      </c>
      <c r="G53" s="394">
        <f t="shared" ref="G53:G79" si="12">(E53*F53)</f>
        <v>0</v>
      </c>
      <c r="H53" s="395" t="s">
        <v>710</v>
      </c>
      <c r="I53" s="394">
        <f t="shared" ref="I53:I79" si="13">H53*G53</f>
        <v>0</v>
      </c>
    </row>
    <row r="54" spans="1:9">
      <c r="A54" s="159" t="s">
        <v>215</v>
      </c>
      <c r="B54" s="382" t="s">
        <v>706</v>
      </c>
      <c r="C54" s="382" t="s">
        <v>179</v>
      </c>
      <c r="D54" s="382" t="s">
        <v>175</v>
      </c>
      <c r="E54" s="392">
        <f>SUMIFS('4-Basis ruimtestaat'!K:K,'4-Basis ruimtestaat'!B:B,'10-Vloeronderhoud'!A54,'4-Basis ruimtestaat'!J:J,"Harde vloer zonder waslaag (sanitair)")-SUMIFS('4-Basis ruimtestaat'!K:K,'4-Basis ruimtestaat'!B:B,'10-Vloeronderhoud'!A54,'4-Basis ruimtestaat'!J:J,"Harde vloer zonder waslaag (sanitair)",'4-Basis ruimtestaat'!M:M,"nio")</f>
        <v>21.799999999999997</v>
      </c>
      <c r="F54" s="393">
        <f t="shared" si="11"/>
        <v>0</v>
      </c>
      <c r="G54" s="394">
        <f t="shared" si="12"/>
        <v>0</v>
      </c>
      <c r="H54" s="395" t="s">
        <v>710</v>
      </c>
      <c r="I54" s="394">
        <f t="shared" si="13"/>
        <v>0</v>
      </c>
    </row>
    <row r="55" spans="1:9">
      <c r="A55" s="159" t="s">
        <v>216</v>
      </c>
      <c r="B55" s="382" t="s">
        <v>706</v>
      </c>
      <c r="C55" s="382" t="s">
        <v>179</v>
      </c>
      <c r="D55" s="382" t="s">
        <v>175</v>
      </c>
      <c r="E55" s="392">
        <f>SUMIFS('4-Basis ruimtestaat'!K:K,'4-Basis ruimtestaat'!B:B,'10-Vloeronderhoud'!A55,'4-Basis ruimtestaat'!J:J,"Harde vloer zonder waslaag (sanitair)")-SUMIFS('4-Basis ruimtestaat'!K:K,'4-Basis ruimtestaat'!B:B,'10-Vloeronderhoud'!A55,'4-Basis ruimtestaat'!J:J,"Harde vloer zonder waslaag (sanitair)",'4-Basis ruimtestaat'!M:M,"nio")</f>
        <v>62.7</v>
      </c>
      <c r="F55" s="393">
        <f t="shared" si="11"/>
        <v>0</v>
      </c>
      <c r="G55" s="394">
        <f t="shared" si="12"/>
        <v>0</v>
      </c>
      <c r="H55" s="395" t="s">
        <v>710</v>
      </c>
      <c r="I55" s="394">
        <f t="shared" si="13"/>
        <v>0</v>
      </c>
    </row>
    <row r="56" spans="1:9">
      <c r="A56" s="159" t="s">
        <v>218</v>
      </c>
      <c r="B56" s="382" t="s">
        <v>706</v>
      </c>
      <c r="C56" s="382" t="s">
        <v>179</v>
      </c>
      <c r="D56" s="382" t="s">
        <v>175</v>
      </c>
      <c r="E56" s="392">
        <f>SUMIFS('4-Basis ruimtestaat'!K:K,'4-Basis ruimtestaat'!B:B,'10-Vloeronderhoud'!A56,'4-Basis ruimtestaat'!J:J,"Harde vloer zonder waslaag (sanitair)")-SUMIFS('4-Basis ruimtestaat'!K:K,'4-Basis ruimtestaat'!B:B,'10-Vloeronderhoud'!A56,'4-Basis ruimtestaat'!J:J,"Harde vloer zonder waslaag (sanitair)",'4-Basis ruimtestaat'!M:M,"nio")</f>
        <v>39.200000000000003</v>
      </c>
      <c r="F56" s="393">
        <f t="shared" si="11"/>
        <v>0</v>
      </c>
      <c r="G56" s="394">
        <f t="shared" si="12"/>
        <v>0</v>
      </c>
      <c r="H56" s="395" t="s">
        <v>710</v>
      </c>
      <c r="I56" s="394">
        <f t="shared" si="13"/>
        <v>0</v>
      </c>
    </row>
    <row r="57" spans="1:9">
      <c r="A57" s="159" t="s">
        <v>219</v>
      </c>
      <c r="B57" s="382" t="s">
        <v>706</v>
      </c>
      <c r="C57" s="382" t="s">
        <v>179</v>
      </c>
      <c r="D57" s="382" t="s">
        <v>175</v>
      </c>
      <c r="E57" s="392">
        <f>SUMIFS('4-Basis ruimtestaat'!K:K,'4-Basis ruimtestaat'!B:B,'10-Vloeronderhoud'!A57,'4-Basis ruimtestaat'!J:J,"Harde vloer zonder waslaag (sanitair)")-SUMIFS('4-Basis ruimtestaat'!K:K,'4-Basis ruimtestaat'!B:B,'10-Vloeronderhoud'!A57,'4-Basis ruimtestaat'!J:J,"Harde vloer zonder waslaag (sanitair)",'4-Basis ruimtestaat'!M:M,"nio")</f>
        <v>49.9</v>
      </c>
      <c r="F57" s="393">
        <f t="shared" si="11"/>
        <v>0</v>
      </c>
      <c r="G57" s="394">
        <f t="shared" si="12"/>
        <v>0</v>
      </c>
      <c r="H57" s="395" t="s">
        <v>710</v>
      </c>
      <c r="I57" s="394">
        <f t="shared" si="13"/>
        <v>0</v>
      </c>
    </row>
    <row r="58" spans="1:9">
      <c r="A58" s="159" t="s">
        <v>207</v>
      </c>
      <c r="B58" s="382" t="s">
        <v>706</v>
      </c>
      <c r="C58" s="382" t="s">
        <v>179</v>
      </c>
      <c r="D58" s="382" t="s">
        <v>175</v>
      </c>
      <c r="E58" s="392">
        <f>SUMIFS('4-Basis ruimtestaat'!K:K,'4-Basis ruimtestaat'!B:B,'10-Vloeronderhoud'!A58,'4-Basis ruimtestaat'!J:J,"Harde vloer zonder waslaag (sanitair)")-SUMIFS('4-Basis ruimtestaat'!K:K,'4-Basis ruimtestaat'!B:B,'10-Vloeronderhoud'!A58,'4-Basis ruimtestaat'!J:J,"Harde vloer zonder waslaag (sanitair)",'4-Basis ruimtestaat'!M:M,"nio")</f>
        <v>106.30000000000001</v>
      </c>
      <c r="F58" s="393">
        <f t="shared" si="11"/>
        <v>0</v>
      </c>
      <c r="G58" s="394">
        <f t="shared" si="12"/>
        <v>0</v>
      </c>
      <c r="H58" s="395" t="s">
        <v>710</v>
      </c>
      <c r="I58" s="394">
        <f t="shared" si="13"/>
        <v>0</v>
      </c>
    </row>
    <row r="59" spans="1:9">
      <c r="A59" s="159" t="s">
        <v>208</v>
      </c>
      <c r="B59" s="382" t="s">
        <v>706</v>
      </c>
      <c r="C59" s="382" t="s">
        <v>179</v>
      </c>
      <c r="D59" s="382" t="s">
        <v>175</v>
      </c>
      <c r="E59" s="392">
        <f>SUMIFS('4-Basis ruimtestaat'!K:K,'4-Basis ruimtestaat'!B:B,'10-Vloeronderhoud'!A59,'4-Basis ruimtestaat'!J:J,"Harde vloer zonder waslaag (sanitair)")-SUMIFS('4-Basis ruimtestaat'!K:K,'4-Basis ruimtestaat'!B:B,'10-Vloeronderhoud'!A59,'4-Basis ruimtestaat'!J:J,"Harde vloer zonder waslaag (sanitair)",'4-Basis ruimtestaat'!M:M,"nio")</f>
        <v>68.3</v>
      </c>
      <c r="F59" s="393">
        <f t="shared" si="11"/>
        <v>0</v>
      </c>
      <c r="G59" s="394">
        <f t="shared" si="12"/>
        <v>0</v>
      </c>
      <c r="H59" s="395" t="s">
        <v>710</v>
      </c>
      <c r="I59" s="394">
        <f t="shared" si="13"/>
        <v>0</v>
      </c>
    </row>
    <row r="60" spans="1:9">
      <c r="A60" s="159" t="s">
        <v>206</v>
      </c>
      <c r="B60" s="382" t="s">
        <v>706</v>
      </c>
      <c r="C60" s="382" t="s">
        <v>179</v>
      </c>
      <c r="D60" s="382" t="s">
        <v>175</v>
      </c>
      <c r="E60" s="392">
        <f>SUMIFS('4-Basis ruimtestaat'!K:K,'4-Basis ruimtestaat'!B:B,'10-Vloeronderhoud'!A60,'4-Basis ruimtestaat'!J:J,"Harde vloer zonder waslaag (sanitair)")-SUMIFS('4-Basis ruimtestaat'!K:K,'4-Basis ruimtestaat'!B:B,'10-Vloeronderhoud'!A60,'4-Basis ruimtestaat'!J:J,"Harde vloer zonder waslaag (sanitair)",'4-Basis ruimtestaat'!M:M,"nio")</f>
        <v>77.400000000000006</v>
      </c>
      <c r="F60" s="393">
        <f t="shared" si="11"/>
        <v>0</v>
      </c>
      <c r="G60" s="394">
        <f t="shared" si="12"/>
        <v>0</v>
      </c>
      <c r="H60" s="395" t="s">
        <v>710</v>
      </c>
      <c r="I60" s="394">
        <f t="shared" si="13"/>
        <v>0</v>
      </c>
    </row>
    <row r="61" spans="1:9">
      <c r="A61" s="159" t="s">
        <v>209</v>
      </c>
      <c r="B61" s="382" t="s">
        <v>706</v>
      </c>
      <c r="C61" s="382" t="s">
        <v>179</v>
      </c>
      <c r="D61" s="382" t="s">
        <v>175</v>
      </c>
      <c r="E61" s="392">
        <f>SUMIFS('4-Basis ruimtestaat'!K:K,'4-Basis ruimtestaat'!B:B,'10-Vloeronderhoud'!A61,'4-Basis ruimtestaat'!J:J,"Harde vloer zonder waslaag (sanitair)")-SUMIFS('4-Basis ruimtestaat'!K:K,'4-Basis ruimtestaat'!B:B,'10-Vloeronderhoud'!A61,'4-Basis ruimtestaat'!J:J,"Harde vloer zonder waslaag (sanitair)",'4-Basis ruimtestaat'!M:M,"nio")</f>
        <v>46.7</v>
      </c>
      <c r="F61" s="393">
        <f t="shared" si="11"/>
        <v>0</v>
      </c>
      <c r="G61" s="394">
        <f t="shared" si="12"/>
        <v>0</v>
      </c>
      <c r="H61" s="395" t="s">
        <v>710</v>
      </c>
      <c r="I61" s="394">
        <f t="shared" si="13"/>
        <v>0</v>
      </c>
    </row>
    <row r="62" spans="1:9">
      <c r="A62" s="159" t="s">
        <v>217</v>
      </c>
      <c r="B62" s="382" t="s">
        <v>706</v>
      </c>
      <c r="C62" s="382" t="s">
        <v>179</v>
      </c>
      <c r="D62" s="382" t="s">
        <v>175</v>
      </c>
      <c r="E62" s="392">
        <f>SUMIFS('4-Basis ruimtestaat'!K:K,'4-Basis ruimtestaat'!B:B,'10-Vloeronderhoud'!A62,'4-Basis ruimtestaat'!J:J,"Harde vloer zonder waslaag (sanitair)")-SUMIFS('4-Basis ruimtestaat'!K:K,'4-Basis ruimtestaat'!B:B,'10-Vloeronderhoud'!A62,'4-Basis ruimtestaat'!J:J,"Harde vloer zonder waslaag (sanitair)",'4-Basis ruimtestaat'!M:M,"nio")</f>
        <v>14.999999999999998</v>
      </c>
      <c r="F62" s="393">
        <f t="shared" si="11"/>
        <v>0</v>
      </c>
      <c r="G62" s="394">
        <f t="shared" si="12"/>
        <v>0</v>
      </c>
      <c r="H62" s="395" t="s">
        <v>710</v>
      </c>
      <c r="I62" s="394">
        <f t="shared" si="13"/>
        <v>0</v>
      </c>
    </row>
    <row r="63" spans="1:9">
      <c r="A63" s="159" t="s">
        <v>204</v>
      </c>
      <c r="B63" s="382" t="s">
        <v>706</v>
      </c>
      <c r="C63" s="382" t="s">
        <v>200</v>
      </c>
      <c r="D63" s="382" t="s">
        <v>175</v>
      </c>
      <c r="E63" s="392">
        <f>SUMIFS('4-Basis ruimtestaat'!K:K,'4-Basis ruimtestaat'!B:B,'10-Vloeronderhoud'!A63,'4-Basis ruimtestaat'!J:J,"Harde vloer zonder waslaag (overig)")-SUMIFS('4-Basis ruimtestaat'!K:K,'4-Basis ruimtestaat'!B:B,'10-Vloeronderhoud'!A63,'4-Basis ruimtestaat'!J:J,"Harde vloer zonder waslaag (overig)",'4-Basis ruimtestaat'!M:M,"nio")</f>
        <v>1453.7</v>
      </c>
      <c r="F63" s="393">
        <f t="shared" si="11"/>
        <v>0</v>
      </c>
      <c r="G63" s="394">
        <f t="shared" si="12"/>
        <v>0</v>
      </c>
      <c r="H63" s="395" t="s">
        <v>178</v>
      </c>
      <c r="I63" s="394">
        <f t="shared" si="13"/>
        <v>0</v>
      </c>
    </row>
    <row r="64" spans="1:9">
      <c r="A64" s="159" t="s">
        <v>203</v>
      </c>
      <c r="B64" s="382" t="s">
        <v>706</v>
      </c>
      <c r="C64" s="382" t="s">
        <v>200</v>
      </c>
      <c r="D64" s="382" t="s">
        <v>175</v>
      </c>
      <c r="E64" s="392">
        <f>SUMIFS('4-Basis ruimtestaat'!K:K,'4-Basis ruimtestaat'!B:B,'10-Vloeronderhoud'!A64,'4-Basis ruimtestaat'!J:J,"Harde vloer zonder waslaag (overig)")-SUMIFS('4-Basis ruimtestaat'!K:K,'4-Basis ruimtestaat'!B:B,'10-Vloeronderhoud'!A64,'4-Basis ruimtestaat'!J:J,"Harde vloer zonder waslaag (overig)",'4-Basis ruimtestaat'!M:M,"nio")</f>
        <v>114</v>
      </c>
      <c r="F64" s="393">
        <f t="shared" si="11"/>
        <v>0</v>
      </c>
      <c r="G64" s="394">
        <f t="shared" si="12"/>
        <v>0</v>
      </c>
      <c r="H64" s="395" t="s">
        <v>178</v>
      </c>
      <c r="I64" s="394">
        <f t="shared" si="13"/>
        <v>0</v>
      </c>
    </row>
    <row r="65" spans="1:9">
      <c r="A65" s="159" t="s">
        <v>205</v>
      </c>
      <c r="B65" s="382" t="s">
        <v>706</v>
      </c>
      <c r="C65" s="382" t="s">
        <v>200</v>
      </c>
      <c r="D65" s="382" t="s">
        <v>175</v>
      </c>
      <c r="E65" s="392">
        <f>SUMIFS('4-Basis ruimtestaat'!K:K,'4-Basis ruimtestaat'!B:B,'10-Vloeronderhoud'!A65,'4-Basis ruimtestaat'!J:J,"Harde vloer zonder waslaag (overig)")-SUMIFS('4-Basis ruimtestaat'!K:K,'4-Basis ruimtestaat'!B:B,'10-Vloeronderhoud'!A65,'4-Basis ruimtestaat'!J:J,"Harde vloer zonder waslaag (overig)",'4-Basis ruimtestaat'!M:M,"nio")</f>
        <v>3.4</v>
      </c>
      <c r="F65" s="393">
        <f t="shared" si="11"/>
        <v>0</v>
      </c>
      <c r="G65" s="394">
        <f t="shared" si="12"/>
        <v>0</v>
      </c>
      <c r="H65" s="395" t="s">
        <v>178</v>
      </c>
      <c r="I65" s="394">
        <f t="shared" si="13"/>
        <v>0</v>
      </c>
    </row>
    <row r="66" spans="1:9">
      <c r="A66" s="159" t="s">
        <v>210</v>
      </c>
      <c r="B66" s="382" t="s">
        <v>706</v>
      </c>
      <c r="C66" s="382" t="s">
        <v>200</v>
      </c>
      <c r="D66" s="382" t="s">
        <v>175</v>
      </c>
      <c r="E66" s="392">
        <f>SUMIFS('4-Basis ruimtestaat'!K:K,'4-Basis ruimtestaat'!B:B,'10-Vloeronderhoud'!A66,'4-Basis ruimtestaat'!J:J,"Harde vloer zonder waslaag (overig)")-SUMIFS('4-Basis ruimtestaat'!K:K,'4-Basis ruimtestaat'!B:B,'10-Vloeronderhoud'!A66,'4-Basis ruimtestaat'!J:J,"Harde vloer zonder waslaag (overig)",'4-Basis ruimtestaat'!M:M,"nio")</f>
        <v>96.800000000000011</v>
      </c>
      <c r="F66" s="393">
        <f t="shared" si="11"/>
        <v>0</v>
      </c>
      <c r="G66" s="394">
        <f t="shared" si="12"/>
        <v>0</v>
      </c>
      <c r="H66" s="395" t="s">
        <v>178</v>
      </c>
      <c r="I66" s="394">
        <f t="shared" si="13"/>
        <v>0</v>
      </c>
    </row>
    <row r="67" spans="1:9">
      <c r="A67" s="67" t="s">
        <v>712</v>
      </c>
      <c r="B67" s="382" t="s">
        <v>706</v>
      </c>
      <c r="C67" s="382" t="s">
        <v>200</v>
      </c>
      <c r="D67" s="382" t="s">
        <v>175</v>
      </c>
      <c r="E67" s="392">
        <f>SUMIFS('4-Basis ruimtestaat'!K:K,'4-Basis ruimtestaat'!B:B,'10-Vloeronderhoud'!A67,'4-Basis ruimtestaat'!J:J,"Harde vloer zonder waslaag (overig)")-SUMIFS('4-Basis ruimtestaat'!K:K,'4-Basis ruimtestaat'!B:B,'10-Vloeronderhoud'!A67,'4-Basis ruimtestaat'!J:J,"Harde vloer zonder waslaag (overig)",'4-Basis ruimtestaat'!M:M,"nio")</f>
        <v>95.8</v>
      </c>
      <c r="F67" s="393">
        <f t="shared" si="11"/>
        <v>0</v>
      </c>
      <c r="G67" s="394">
        <f t="shared" si="12"/>
        <v>0</v>
      </c>
      <c r="H67" s="395" t="s">
        <v>178</v>
      </c>
      <c r="I67" s="394">
        <f t="shared" si="13"/>
        <v>0</v>
      </c>
    </row>
    <row r="68" spans="1:9">
      <c r="A68" s="159" t="s">
        <v>212</v>
      </c>
      <c r="B68" s="382" t="s">
        <v>706</v>
      </c>
      <c r="C68" s="382" t="s">
        <v>200</v>
      </c>
      <c r="D68" s="382" t="s">
        <v>175</v>
      </c>
      <c r="E68" s="392">
        <f>SUMIFS('4-Basis ruimtestaat'!K:K,'4-Basis ruimtestaat'!B:B,'10-Vloeronderhoud'!A68,'4-Basis ruimtestaat'!J:J,"Harde vloer zonder waslaag (overig)")-SUMIFS('4-Basis ruimtestaat'!K:K,'4-Basis ruimtestaat'!B:B,'10-Vloeronderhoud'!A68,'4-Basis ruimtestaat'!J:J,"Harde vloer zonder waslaag (overig)",'4-Basis ruimtestaat'!M:M,"nio")</f>
        <v>113.1</v>
      </c>
      <c r="F68" s="393">
        <f t="shared" si="11"/>
        <v>0</v>
      </c>
      <c r="G68" s="394">
        <f t="shared" si="12"/>
        <v>0</v>
      </c>
      <c r="H68" s="395" t="s">
        <v>178</v>
      </c>
      <c r="I68" s="394">
        <f t="shared" si="13"/>
        <v>0</v>
      </c>
    </row>
    <row r="69" spans="1:9">
      <c r="A69" s="159" t="s">
        <v>213</v>
      </c>
      <c r="B69" s="382" t="s">
        <v>706</v>
      </c>
      <c r="C69" s="382" t="s">
        <v>200</v>
      </c>
      <c r="D69" s="382" t="s">
        <v>175</v>
      </c>
      <c r="E69" s="392">
        <f>SUMIFS('4-Basis ruimtestaat'!K:K,'4-Basis ruimtestaat'!B:B,'10-Vloeronderhoud'!A69,'4-Basis ruimtestaat'!J:J,"Harde vloer zonder waslaag (overig)")-SUMIFS('4-Basis ruimtestaat'!K:K,'4-Basis ruimtestaat'!B:B,'10-Vloeronderhoud'!A69,'4-Basis ruimtestaat'!J:J,"Harde vloer zonder waslaag (overig)",'4-Basis ruimtestaat'!M:M,"nio")</f>
        <v>85.6</v>
      </c>
      <c r="F69" s="393">
        <f t="shared" si="11"/>
        <v>0</v>
      </c>
      <c r="G69" s="394">
        <f t="shared" si="12"/>
        <v>0</v>
      </c>
      <c r="H69" s="395" t="s">
        <v>178</v>
      </c>
      <c r="I69" s="394">
        <f t="shared" si="13"/>
        <v>0</v>
      </c>
    </row>
    <row r="70" spans="1:9">
      <c r="A70" s="159" t="s">
        <v>214</v>
      </c>
      <c r="B70" s="382" t="s">
        <v>706</v>
      </c>
      <c r="C70" s="382" t="s">
        <v>200</v>
      </c>
      <c r="D70" s="382" t="s">
        <v>175</v>
      </c>
      <c r="E70" s="392">
        <f>SUMIFS('4-Basis ruimtestaat'!K:K,'4-Basis ruimtestaat'!B:B,'10-Vloeronderhoud'!A70,'4-Basis ruimtestaat'!J:J,"Harde vloer zonder waslaag (overig)")-SUMIFS('4-Basis ruimtestaat'!K:K,'4-Basis ruimtestaat'!B:B,'10-Vloeronderhoud'!A70,'4-Basis ruimtestaat'!J:J,"Harde vloer zonder waslaag (overig)",'4-Basis ruimtestaat'!M:M,"nio")</f>
        <v>89.7</v>
      </c>
      <c r="F70" s="393">
        <f t="shared" si="11"/>
        <v>0</v>
      </c>
      <c r="G70" s="394">
        <f t="shared" si="12"/>
        <v>0</v>
      </c>
      <c r="H70" s="395" t="s">
        <v>178</v>
      </c>
      <c r="I70" s="394">
        <f t="shared" si="13"/>
        <v>0</v>
      </c>
    </row>
    <row r="71" spans="1:9">
      <c r="A71" s="159" t="s">
        <v>216</v>
      </c>
      <c r="B71" s="382" t="s">
        <v>706</v>
      </c>
      <c r="C71" s="382" t="s">
        <v>200</v>
      </c>
      <c r="D71" s="382" t="s">
        <v>175</v>
      </c>
      <c r="E71" s="392">
        <f>SUMIFS('4-Basis ruimtestaat'!K:K,'4-Basis ruimtestaat'!B:B,'10-Vloeronderhoud'!A71,'4-Basis ruimtestaat'!J:J,"Harde vloer zonder waslaag (overig)")-SUMIFS('4-Basis ruimtestaat'!K:K,'4-Basis ruimtestaat'!B:B,'10-Vloeronderhoud'!A71,'4-Basis ruimtestaat'!J:J,"Harde vloer zonder waslaag (overig)",'4-Basis ruimtestaat'!M:M,"nio")</f>
        <v>36.299999999999997</v>
      </c>
      <c r="F71" s="393">
        <f t="shared" si="11"/>
        <v>0</v>
      </c>
      <c r="G71" s="394">
        <f t="shared" si="12"/>
        <v>0</v>
      </c>
      <c r="H71" s="395" t="s">
        <v>178</v>
      </c>
      <c r="I71" s="394">
        <f t="shared" si="13"/>
        <v>0</v>
      </c>
    </row>
    <row r="72" spans="1:9">
      <c r="A72" s="159" t="s">
        <v>218</v>
      </c>
      <c r="B72" s="382" t="s">
        <v>706</v>
      </c>
      <c r="C72" s="382" t="s">
        <v>200</v>
      </c>
      <c r="D72" s="382" t="s">
        <v>175</v>
      </c>
      <c r="E72" s="392">
        <f>SUMIFS('4-Basis ruimtestaat'!K:K,'4-Basis ruimtestaat'!B:B,'10-Vloeronderhoud'!A72,'4-Basis ruimtestaat'!J:J,"Harde vloer zonder waslaag (overig)")-SUMIFS('4-Basis ruimtestaat'!K:K,'4-Basis ruimtestaat'!B:B,'10-Vloeronderhoud'!A72,'4-Basis ruimtestaat'!J:J,"Harde vloer zonder waslaag (overig)",'4-Basis ruimtestaat'!M:M,"nio")</f>
        <v>1110.6000000000001</v>
      </c>
      <c r="F72" s="393">
        <f t="shared" si="11"/>
        <v>0</v>
      </c>
      <c r="G72" s="394">
        <f t="shared" si="12"/>
        <v>0</v>
      </c>
      <c r="H72" s="395" t="s">
        <v>178</v>
      </c>
      <c r="I72" s="394">
        <f t="shared" si="13"/>
        <v>0</v>
      </c>
    </row>
    <row r="73" spans="1:9">
      <c r="A73" s="159" t="s">
        <v>219</v>
      </c>
      <c r="B73" s="382" t="s">
        <v>706</v>
      </c>
      <c r="C73" s="382" t="s">
        <v>200</v>
      </c>
      <c r="D73" s="382" t="s">
        <v>175</v>
      </c>
      <c r="E73" s="392">
        <f>SUMIFS('4-Basis ruimtestaat'!K:K,'4-Basis ruimtestaat'!B:B,'10-Vloeronderhoud'!A73,'4-Basis ruimtestaat'!J:J,"Harde vloer zonder waslaag (overig)")-SUMIFS('4-Basis ruimtestaat'!K:K,'4-Basis ruimtestaat'!B:B,'10-Vloeronderhoud'!A73,'4-Basis ruimtestaat'!J:J,"Harde vloer zonder waslaag (overig)",'4-Basis ruimtestaat'!M:M,"nio")</f>
        <v>74.8</v>
      </c>
      <c r="F73" s="393">
        <f t="shared" si="11"/>
        <v>0</v>
      </c>
      <c r="G73" s="394">
        <f t="shared" si="12"/>
        <v>0</v>
      </c>
      <c r="H73" s="395" t="s">
        <v>178</v>
      </c>
      <c r="I73" s="394">
        <f t="shared" si="13"/>
        <v>0</v>
      </c>
    </row>
    <row r="74" spans="1:9">
      <c r="A74" s="159" t="s">
        <v>207</v>
      </c>
      <c r="B74" s="382" t="s">
        <v>706</v>
      </c>
      <c r="C74" s="382" t="s">
        <v>200</v>
      </c>
      <c r="D74" s="382" t="s">
        <v>175</v>
      </c>
      <c r="E74" s="392">
        <f>SUMIFS('4-Basis ruimtestaat'!K:K,'4-Basis ruimtestaat'!B:B,'10-Vloeronderhoud'!A74,'4-Basis ruimtestaat'!J:J,"Harde vloer zonder waslaag (overig)")-SUMIFS('4-Basis ruimtestaat'!K:K,'4-Basis ruimtestaat'!B:B,'10-Vloeronderhoud'!A74,'4-Basis ruimtestaat'!J:J,"Harde vloer zonder waslaag (overig)",'4-Basis ruimtestaat'!M:M,"nio")</f>
        <v>140.6</v>
      </c>
      <c r="F74" s="393">
        <f t="shared" si="11"/>
        <v>0</v>
      </c>
      <c r="G74" s="394">
        <f t="shared" si="12"/>
        <v>0</v>
      </c>
      <c r="H74" s="395" t="s">
        <v>178</v>
      </c>
      <c r="I74" s="394">
        <f t="shared" si="13"/>
        <v>0</v>
      </c>
    </row>
    <row r="75" spans="1:9">
      <c r="A75" s="159" t="s">
        <v>208</v>
      </c>
      <c r="B75" s="382" t="s">
        <v>706</v>
      </c>
      <c r="C75" s="382" t="s">
        <v>200</v>
      </c>
      <c r="D75" s="382" t="s">
        <v>175</v>
      </c>
      <c r="E75" s="392">
        <f>SUMIFS('4-Basis ruimtestaat'!K:K,'4-Basis ruimtestaat'!B:B,'10-Vloeronderhoud'!A75,'4-Basis ruimtestaat'!J:J,"Harde vloer zonder waslaag (overig)")-SUMIFS('4-Basis ruimtestaat'!K:K,'4-Basis ruimtestaat'!B:B,'10-Vloeronderhoud'!A75,'4-Basis ruimtestaat'!J:J,"Harde vloer zonder waslaag (overig)",'4-Basis ruimtestaat'!M:M,"nio")</f>
        <v>290.70000000000005</v>
      </c>
      <c r="F75" s="393">
        <f t="shared" si="11"/>
        <v>0</v>
      </c>
      <c r="G75" s="394">
        <f t="shared" si="12"/>
        <v>0</v>
      </c>
      <c r="H75" s="395" t="s">
        <v>178</v>
      </c>
      <c r="I75" s="394">
        <f t="shared" si="13"/>
        <v>0</v>
      </c>
    </row>
    <row r="76" spans="1:9">
      <c r="A76" s="159" t="s">
        <v>206</v>
      </c>
      <c r="B76" s="382" t="s">
        <v>706</v>
      </c>
      <c r="C76" s="382" t="s">
        <v>200</v>
      </c>
      <c r="D76" s="382" t="s">
        <v>175</v>
      </c>
      <c r="E76" s="392">
        <f>SUMIFS('4-Basis ruimtestaat'!K:K,'4-Basis ruimtestaat'!B:B,'10-Vloeronderhoud'!A76,'4-Basis ruimtestaat'!J:J,"Harde vloer zonder waslaag (overig)")-SUMIFS('4-Basis ruimtestaat'!K:K,'4-Basis ruimtestaat'!B:B,'10-Vloeronderhoud'!A76,'4-Basis ruimtestaat'!J:J,"Harde vloer zonder waslaag (overig)",'4-Basis ruimtestaat'!M:M,"nio")</f>
        <v>2029.47</v>
      </c>
      <c r="F76" s="393">
        <f t="shared" si="11"/>
        <v>0</v>
      </c>
      <c r="G76" s="394">
        <f t="shared" si="12"/>
        <v>0</v>
      </c>
      <c r="H76" s="395" t="s">
        <v>178</v>
      </c>
      <c r="I76" s="394">
        <f t="shared" si="13"/>
        <v>0</v>
      </c>
    </row>
    <row r="77" spans="1:9">
      <c r="A77" s="159" t="s">
        <v>209</v>
      </c>
      <c r="B77" s="382" t="s">
        <v>706</v>
      </c>
      <c r="C77" s="382" t="s">
        <v>200</v>
      </c>
      <c r="D77" s="382" t="s">
        <v>175</v>
      </c>
      <c r="E77" s="392">
        <f>SUMIFS('4-Basis ruimtestaat'!K:K,'4-Basis ruimtestaat'!B:B,'10-Vloeronderhoud'!A77,'4-Basis ruimtestaat'!J:J,"Harde vloer zonder waslaag (overig)")-SUMIFS('4-Basis ruimtestaat'!K:K,'4-Basis ruimtestaat'!B:B,'10-Vloeronderhoud'!A77,'4-Basis ruimtestaat'!J:J,"Harde vloer zonder waslaag (overig)",'4-Basis ruimtestaat'!M:M,"nio")</f>
        <v>94.199999999999989</v>
      </c>
      <c r="F77" s="393">
        <f t="shared" si="11"/>
        <v>0</v>
      </c>
      <c r="G77" s="394">
        <f t="shared" si="12"/>
        <v>0</v>
      </c>
      <c r="H77" s="395" t="s">
        <v>178</v>
      </c>
      <c r="I77" s="394">
        <f t="shared" si="13"/>
        <v>0</v>
      </c>
    </row>
    <row r="78" spans="1:9">
      <c r="A78" s="159" t="s">
        <v>217</v>
      </c>
      <c r="B78" s="382" t="s">
        <v>706</v>
      </c>
      <c r="C78" s="382" t="s">
        <v>200</v>
      </c>
      <c r="D78" s="382" t="s">
        <v>175</v>
      </c>
      <c r="E78" s="392">
        <f>SUMIFS('4-Basis ruimtestaat'!K:K,'4-Basis ruimtestaat'!B:B,'10-Vloeronderhoud'!A78,'4-Basis ruimtestaat'!J:J,"Harde vloer zonder waslaag (overig)")-SUMIFS('4-Basis ruimtestaat'!K:K,'4-Basis ruimtestaat'!B:B,'10-Vloeronderhoud'!A78,'4-Basis ruimtestaat'!J:J,"Harde vloer zonder waslaag (overig)",'4-Basis ruimtestaat'!M:M,"nio")</f>
        <v>97.02</v>
      </c>
      <c r="F78" s="393">
        <f t="shared" si="11"/>
        <v>0</v>
      </c>
      <c r="G78" s="394">
        <f t="shared" si="12"/>
        <v>0</v>
      </c>
      <c r="H78" s="395" t="s">
        <v>178</v>
      </c>
      <c r="I78" s="394">
        <f t="shared" si="13"/>
        <v>0</v>
      </c>
    </row>
    <row r="79" spans="1:9">
      <c r="A79" s="159" t="s">
        <v>203</v>
      </c>
      <c r="B79" s="382" t="s">
        <v>707</v>
      </c>
      <c r="C79" s="382" t="s">
        <v>201</v>
      </c>
      <c r="D79" s="382" t="s">
        <v>176</v>
      </c>
      <c r="E79" s="392">
        <f>SUMIFS('4-Basis ruimtestaat'!K:K,'4-Basis ruimtestaat'!B:B,'10-Vloeronderhoud'!A79,'4-Basis ruimtestaat'!J:J,"Zachte vloer")-SUMIFS('4-Basis ruimtestaat'!K:K,'4-Basis ruimtestaat'!B:B,'10-Vloeronderhoud'!A79,'4-Basis ruimtestaat'!J:J,"Zachte vloer",'4-Basis ruimtestaat'!M:M,"nio")</f>
        <v>10.5</v>
      </c>
      <c r="F79" s="393">
        <f t="shared" si="11"/>
        <v>0</v>
      </c>
      <c r="G79" s="394">
        <f t="shared" si="12"/>
        <v>0</v>
      </c>
      <c r="H79" s="395" t="s">
        <v>178</v>
      </c>
      <c r="I79" s="394">
        <f t="shared" si="13"/>
        <v>0</v>
      </c>
    </row>
    <row r="80" spans="1:9">
      <c r="A80" s="159" t="s">
        <v>205</v>
      </c>
      <c r="B80" s="382" t="s">
        <v>707</v>
      </c>
      <c r="C80" s="382" t="s">
        <v>201</v>
      </c>
      <c r="D80" s="382" t="s">
        <v>176</v>
      </c>
      <c r="E80" s="392">
        <f>SUMIFS('4-Basis ruimtestaat'!K:K,'4-Basis ruimtestaat'!B:B,'10-Vloeronderhoud'!A80,'4-Basis ruimtestaat'!J:J,"Zachte vloer")-SUMIFS('4-Basis ruimtestaat'!K:K,'4-Basis ruimtestaat'!B:B,'10-Vloeronderhoud'!A80,'4-Basis ruimtestaat'!J:J,"Zachte vloer",'4-Basis ruimtestaat'!M:M,"nio")</f>
        <v>13.799999999999997</v>
      </c>
      <c r="F80" s="393">
        <f t="shared" ref="F80:F94" si="14">VLOOKUP(D80,$F$3:$G$10,2,FALSE)</f>
        <v>0</v>
      </c>
      <c r="G80" s="394">
        <f t="shared" ref="G80:G94" si="15">(E80*F80)</f>
        <v>0</v>
      </c>
      <c r="H80" s="395" t="s">
        <v>178</v>
      </c>
      <c r="I80" s="394">
        <f t="shared" ref="I80:I94" si="16">H80*G80</f>
        <v>0</v>
      </c>
    </row>
    <row r="81" spans="1:9">
      <c r="A81" s="159" t="s">
        <v>210</v>
      </c>
      <c r="B81" s="382" t="s">
        <v>707</v>
      </c>
      <c r="C81" s="382" t="s">
        <v>201</v>
      </c>
      <c r="D81" s="382" t="s">
        <v>176</v>
      </c>
      <c r="E81" s="392">
        <f>SUMIFS('4-Basis ruimtestaat'!K:K,'4-Basis ruimtestaat'!B:B,'10-Vloeronderhoud'!A81,'4-Basis ruimtestaat'!J:J,"Zachte vloer")-SUMIFS('4-Basis ruimtestaat'!K:K,'4-Basis ruimtestaat'!B:B,'10-Vloeronderhoud'!A81,'4-Basis ruimtestaat'!J:J,"Zachte vloer",'4-Basis ruimtestaat'!M:M,"nio")</f>
        <v>27.8</v>
      </c>
      <c r="F81" s="393">
        <f t="shared" si="14"/>
        <v>0</v>
      </c>
      <c r="G81" s="394">
        <f t="shared" si="15"/>
        <v>0</v>
      </c>
      <c r="H81" s="395" t="s">
        <v>178</v>
      </c>
      <c r="I81" s="394">
        <f t="shared" si="16"/>
        <v>0</v>
      </c>
    </row>
    <row r="82" spans="1:9">
      <c r="A82" s="67" t="s">
        <v>712</v>
      </c>
      <c r="B82" s="382" t="s">
        <v>707</v>
      </c>
      <c r="C82" s="382" t="s">
        <v>201</v>
      </c>
      <c r="D82" s="382" t="s">
        <v>176</v>
      </c>
      <c r="E82" s="392">
        <f>SUMIFS('4-Basis ruimtestaat'!K:K,'4-Basis ruimtestaat'!B:B,'10-Vloeronderhoud'!A82,'4-Basis ruimtestaat'!J:J,"Zachte vloer")-SUMIFS('4-Basis ruimtestaat'!K:K,'4-Basis ruimtestaat'!B:B,'10-Vloeronderhoud'!A82,'4-Basis ruimtestaat'!J:J,"Zachte vloer",'4-Basis ruimtestaat'!M:M,"nio")</f>
        <v>14.1</v>
      </c>
      <c r="F82" s="393">
        <f t="shared" si="14"/>
        <v>0</v>
      </c>
      <c r="G82" s="394">
        <f t="shared" si="15"/>
        <v>0</v>
      </c>
      <c r="H82" s="395" t="s">
        <v>178</v>
      </c>
      <c r="I82" s="394">
        <f t="shared" si="16"/>
        <v>0</v>
      </c>
    </row>
    <row r="83" spans="1:9">
      <c r="A83" s="159" t="s">
        <v>211</v>
      </c>
      <c r="B83" s="382" t="s">
        <v>707</v>
      </c>
      <c r="C83" s="382" t="s">
        <v>201</v>
      </c>
      <c r="D83" s="382" t="s">
        <v>176</v>
      </c>
      <c r="E83" s="392">
        <f>SUMIFS('4-Basis ruimtestaat'!K:K,'4-Basis ruimtestaat'!B:B,'10-Vloeronderhoud'!A83,'4-Basis ruimtestaat'!J:J,"Zachte vloer")-SUMIFS('4-Basis ruimtestaat'!K:K,'4-Basis ruimtestaat'!B:B,'10-Vloeronderhoud'!A83,'4-Basis ruimtestaat'!J:J,"Zachte vloer",'4-Basis ruimtestaat'!M:M,"nio")</f>
        <v>29.6</v>
      </c>
      <c r="F83" s="393">
        <f t="shared" si="14"/>
        <v>0</v>
      </c>
      <c r="G83" s="394">
        <f t="shared" si="15"/>
        <v>0</v>
      </c>
      <c r="H83" s="395" t="s">
        <v>178</v>
      </c>
      <c r="I83" s="394">
        <f t="shared" si="16"/>
        <v>0</v>
      </c>
    </row>
    <row r="84" spans="1:9">
      <c r="A84" s="159" t="s">
        <v>212</v>
      </c>
      <c r="B84" s="382" t="s">
        <v>707</v>
      </c>
      <c r="C84" s="382" t="s">
        <v>201</v>
      </c>
      <c r="D84" s="382" t="s">
        <v>176</v>
      </c>
      <c r="E84" s="392">
        <f>SUMIFS('4-Basis ruimtestaat'!K:K,'4-Basis ruimtestaat'!B:B,'10-Vloeronderhoud'!A84,'4-Basis ruimtestaat'!J:J,"Zachte vloer")-SUMIFS('4-Basis ruimtestaat'!K:K,'4-Basis ruimtestaat'!B:B,'10-Vloeronderhoud'!A84,'4-Basis ruimtestaat'!J:J,"Zachte vloer",'4-Basis ruimtestaat'!M:M,"nio")</f>
        <v>41.9</v>
      </c>
      <c r="F84" s="393">
        <f t="shared" si="14"/>
        <v>0</v>
      </c>
      <c r="G84" s="394">
        <f t="shared" si="15"/>
        <v>0</v>
      </c>
      <c r="H84" s="395" t="s">
        <v>178</v>
      </c>
      <c r="I84" s="394">
        <f t="shared" si="16"/>
        <v>0</v>
      </c>
    </row>
    <row r="85" spans="1:9">
      <c r="A85" s="159" t="s">
        <v>213</v>
      </c>
      <c r="B85" s="382" t="s">
        <v>707</v>
      </c>
      <c r="C85" s="382" t="s">
        <v>201</v>
      </c>
      <c r="D85" s="382" t="s">
        <v>176</v>
      </c>
      <c r="E85" s="392">
        <f>SUMIFS('4-Basis ruimtestaat'!K:K,'4-Basis ruimtestaat'!B:B,'10-Vloeronderhoud'!A85,'4-Basis ruimtestaat'!J:J,"Zachte vloer")-SUMIFS('4-Basis ruimtestaat'!K:K,'4-Basis ruimtestaat'!B:B,'10-Vloeronderhoud'!A85,'4-Basis ruimtestaat'!J:J,"Zachte vloer",'4-Basis ruimtestaat'!M:M,"nio")</f>
        <v>69</v>
      </c>
      <c r="F85" s="393">
        <f t="shared" si="14"/>
        <v>0</v>
      </c>
      <c r="G85" s="394">
        <f t="shared" si="15"/>
        <v>0</v>
      </c>
      <c r="H85" s="395" t="s">
        <v>178</v>
      </c>
      <c r="I85" s="394">
        <f t="shared" si="16"/>
        <v>0</v>
      </c>
    </row>
    <row r="86" spans="1:9">
      <c r="A86" s="159" t="s">
        <v>214</v>
      </c>
      <c r="B86" s="382" t="s">
        <v>707</v>
      </c>
      <c r="C86" s="382" t="s">
        <v>201</v>
      </c>
      <c r="D86" s="382" t="s">
        <v>176</v>
      </c>
      <c r="E86" s="392">
        <f>SUMIFS('4-Basis ruimtestaat'!K:K,'4-Basis ruimtestaat'!B:B,'10-Vloeronderhoud'!A86,'4-Basis ruimtestaat'!J:J,"Zachte vloer")-SUMIFS('4-Basis ruimtestaat'!K:K,'4-Basis ruimtestaat'!B:B,'10-Vloeronderhoud'!A86,'4-Basis ruimtestaat'!J:J,"Zachte vloer",'4-Basis ruimtestaat'!M:M,"nio")</f>
        <v>14.7</v>
      </c>
      <c r="F86" s="393">
        <f t="shared" si="14"/>
        <v>0</v>
      </c>
      <c r="G86" s="394">
        <f t="shared" si="15"/>
        <v>0</v>
      </c>
      <c r="H86" s="395" t="s">
        <v>178</v>
      </c>
      <c r="I86" s="394">
        <f t="shared" si="16"/>
        <v>0</v>
      </c>
    </row>
    <row r="87" spans="1:9">
      <c r="A87" s="159" t="s">
        <v>215</v>
      </c>
      <c r="B87" s="382" t="s">
        <v>707</v>
      </c>
      <c r="C87" s="382" t="s">
        <v>201</v>
      </c>
      <c r="D87" s="382" t="s">
        <v>176</v>
      </c>
      <c r="E87" s="392">
        <f>SUMIFS('4-Basis ruimtestaat'!K:K,'4-Basis ruimtestaat'!B:B,'10-Vloeronderhoud'!A87,'4-Basis ruimtestaat'!J:J,"Zachte vloer")-SUMIFS('4-Basis ruimtestaat'!K:K,'4-Basis ruimtestaat'!B:B,'10-Vloeronderhoud'!A87,'4-Basis ruimtestaat'!J:J,"Zachte vloer",'4-Basis ruimtestaat'!M:M,"nio")</f>
        <v>5.0999999999999996</v>
      </c>
      <c r="F87" s="393">
        <f t="shared" si="14"/>
        <v>0</v>
      </c>
      <c r="G87" s="394">
        <f t="shared" si="15"/>
        <v>0</v>
      </c>
      <c r="H87" s="395" t="s">
        <v>178</v>
      </c>
      <c r="I87" s="394">
        <f t="shared" si="16"/>
        <v>0</v>
      </c>
    </row>
    <row r="88" spans="1:9">
      <c r="A88" s="159" t="s">
        <v>216</v>
      </c>
      <c r="B88" s="382" t="s">
        <v>707</v>
      </c>
      <c r="C88" s="382" t="s">
        <v>201</v>
      </c>
      <c r="D88" s="382" t="s">
        <v>176</v>
      </c>
      <c r="E88" s="392">
        <f>SUMIFS('4-Basis ruimtestaat'!K:K,'4-Basis ruimtestaat'!B:B,'10-Vloeronderhoud'!A88,'4-Basis ruimtestaat'!J:J,"Zachte vloer")-SUMIFS('4-Basis ruimtestaat'!K:K,'4-Basis ruimtestaat'!B:B,'10-Vloeronderhoud'!A88,'4-Basis ruimtestaat'!J:J,"Zachte vloer",'4-Basis ruimtestaat'!M:M,"nio")</f>
        <v>7.3</v>
      </c>
      <c r="F88" s="393">
        <f t="shared" si="14"/>
        <v>0</v>
      </c>
      <c r="G88" s="394">
        <f t="shared" si="15"/>
        <v>0</v>
      </c>
      <c r="H88" s="395" t="s">
        <v>178</v>
      </c>
      <c r="I88" s="394">
        <f t="shared" si="16"/>
        <v>0</v>
      </c>
    </row>
    <row r="89" spans="1:9">
      <c r="A89" s="159" t="s">
        <v>218</v>
      </c>
      <c r="B89" s="382" t="s">
        <v>707</v>
      </c>
      <c r="C89" s="382" t="s">
        <v>201</v>
      </c>
      <c r="D89" s="382" t="s">
        <v>176</v>
      </c>
      <c r="E89" s="392">
        <f>SUMIFS('4-Basis ruimtestaat'!K:K,'4-Basis ruimtestaat'!B:B,'10-Vloeronderhoud'!A89,'4-Basis ruimtestaat'!J:J,"Zachte vloer")-SUMIFS('4-Basis ruimtestaat'!K:K,'4-Basis ruimtestaat'!B:B,'10-Vloeronderhoud'!A89,'4-Basis ruimtestaat'!J:J,"Zachte vloer",'4-Basis ruimtestaat'!M:M,"nio")</f>
        <v>28.700000000000003</v>
      </c>
      <c r="F89" s="393">
        <f t="shared" si="14"/>
        <v>0</v>
      </c>
      <c r="G89" s="394">
        <f t="shared" si="15"/>
        <v>0</v>
      </c>
      <c r="H89" s="395" t="s">
        <v>178</v>
      </c>
      <c r="I89" s="394">
        <f t="shared" si="16"/>
        <v>0</v>
      </c>
    </row>
    <row r="90" spans="1:9">
      <c r="A90" s="159" t="s">
        <v>219</v>
      </c>
      <c r="B90" s="382" t="s">
        <v>707</v>
      </c>
      <c r="C90" s="382" t="s">
        <v>201</v>
      </c>
      <c r="D90" s="382" t="s">
        <v>176</v>
      </c>
      <c r="E90" s="392">
        <f>SUMIFS('4-Basis ruimtestaat'!K:K,'4-Basis ruimtestaat'!B:B,'10-Vloeronderhoud'!A90,'4-Basis ruimtestaat'!J:J,"Zachte vloer")-SUMIFS('4-Basis ruimtestaat'!K:K,'4-Basis ruimtestaat'!B:B,'10-Vloeronderhoud'!A90,'4-Basis ruimtestaat'!J:J,"Zachte vloer",'4-Basis ruimtestaat'!M:M,"nio")</f>
        <v>24.4</v>
      </c>
      <c r="F90" s="393">
        <f t="shared" si="14"/>
        <v>0</v>
      </c>
      <c r="G90" s="394">
        <f t="shared" si="15"/>
        <v>0</v>
      </c>
      <c r="H90" s="395" t="s">
        <v>178</v>
      </c>
      <c r="I90" s="394">
        <f t="shared" si="16"/>
        <v>0</v>
      </c>
    </row>
    <row r="91" spans="1:9">
      <c r="A91" s="159" t="s">
        <v>208</v>
      </c>
      <c r="B91" s="382" t="s">
        <v>707</v>
      </c>
      <c r="C91" s="382" t="s">
        <v>201</v>
      </c>
      <c r="D91" s="382" t="s">
        <v>176</v>
      </c>
      <c r="E91" s="392">
        <f>SUMIFS('4-Basis ruimtestaat'!K:K,'4-Basis ruimtestaat'!B:B,'10-Vloeronderhoud'!A91,'4-Basis ruimtestaat'!J:J,"Zachte vloer")-SUMIFS('4-Basis ruimtestaat'!K:K,'4-Basis ruimtestaat'!B:B,'10-Vloeronderhoud'!A91,'4-Basis ruimtestaat'!J:J,"Zachte vloer",'4-Basis ruimtestaat'!M:M,"nio")</f>
        <v>8.5</v>
      </c>
      <c r="F91" s="393">
        <f t="shared" si="14"/>
        <v>0</v>
      </c>
      <c r="G91" s="394">
        <f t="shared" si="15"/>
        <v>0</v>
      </c>
      <c r="H91" s="395" t="s">
        <v>178</v>
      </c>
      <c r="I91" s="394">
        <f t="shared" si="16"/>
        <v>0</v>
      </c>
    </row>
    <row r="92" spans="1:9">
      <c r="A92" s="159" t="s">
        <v>206</v>
      </c>
      <c r="B92" s="382" t="s">
        <v>707</v>
      </c>
      <c r="C92" s="382" t="s">
        <v>201</v>
      </c>
      <c r="D92" s="382" t="s">
        <v>176</v>
      </c>
      <c r="E92" s="392">
        <f>SUMIFS('4-Basis ruimtestaat'!K:K,'4-Basis ruimtestaat'!B:B,'10-Vloeronderhoud'!A92,'4-Basis ruimtestaat'!J:J,"Zachte vloer")-SUMIFS('4-Basis ruimtestaat'!K:K,'4-Basis ruimtestaat'!B:B,'10-Vloeronderhoud'!A92,'4-Basis ruimtestaat'!J:J,"Zachte vloer",'4-Basis ruimtestaat'!M:M,"nio")</f>
        <v>24.200000000000003</v>
      </c>
      <c r="F92" s="393">
        <f t="shared" si="14"/>
        <v>0</v>
      </c>
      <c r="G92" s="394">
        <f t="shared" si="15"/>
        <v>0</v>
      </c>
      <c r="H92" s="395" t="s">
        <v>178</v>
      </c>
      <c r="I92" s="394">
        <f t="shared" si="16"/>
        <v>0</v>
      </c>
    </row>
    <row r="93" spans="1:9">
      <c r="A93" s="159" t="s">
        <v>209</v>
      </c>
      <c r="B93" s="382" t="s">
        <v>707</v>
      </c>
      <c r="C93" s="382" t="s">
        <v>201</v>
      </c>
      <c r="D93" s="382" t="s">
        <v>176</v>
      </c>
      <c r="E93" s="392">
        <f>SUMIFS('4-Basis ruimtestaat'!K:K,'4-Basis ruimtestaat'!B:B,'10-Vloeronderhoud'!A93,'4-Basis ruimtestaat'!J:J,"Zachte vloer")-SUMIFS('4-Basis ruimtestaat'!K:K,'4-Basis ruimtestaat'!B:B,'10-Vloeronderhoud'!A93,'4-Basis ruimtestaat'!J:J,"Zachte vloer",'4-Basis ruimtestaat'!M:M,"nio")</f>
        <v>21.599999999999998</v>
      </c>
      <c r="F93" s="393">
        <f t="shared" si="14"/>
        <v>0</v>
      </c>
      <c r="G93" s="394">
        <f t="shared" si="15"/>
        <v>0</v>
      </c>
      <c r="H93" s="395" t="s">
        <v>178</v>
      </c>
      <c r="I93" s="394">
        <f t="shared" si="16"/>
        <v>0</v>
      </c>
    </row>
    <row r="94" spans="1:9">
      <c r="A94" s="159" t="s">
        <v>217</v>
      </c>
      <c r="B94" s="382" t="s">
        <v>707</v>
      </c>
      <c r="C94" s="382" t="s">
        <v>201</v>
      </c>
      <c r="D94" s="382" t="s">
        <v>176</v>
      </c>
      <c r="E94" s="392">
        <f>SUMIFS('4-Basis ruimtestaat'!K:K,'4-Basis ruimtestaat'!B:B,'10-Vloeronderhoud'!A94,'4-Basis ruimtestaat'!J:J,"Zachte vloer")-SUMIFS('4-Basis ruimtestaat'!K:K,'4-Basis ruimtestaat'!B:B,'10-Vloeronderhoud'!A94,'4-Basis ruimtestaat'!J:J,"Zachte vloer",'4-Basis ruimtestaat'!M:M,"nio")</f>
        <v>5.4</v>
      </c>
      <c r="F94" s="393">
        <f t="shared" si="14"/>
        <v>0</v>
      </c>
      <c r="G94" s="394">
        <f t="shared" si="15"/>
        <v>0</v>
      </c>
      <c r="H94" s="395" t="s">
        <v>178</v>
      </c>
      <c r="I94" s="394">
        <f t="shared" si="16"/>
        <v>0</v>
      </c>
    </row>
    <row r="95" spans="1:9">
      <c r="B95" s="155"/>
      <c r="C95" s="155"/>
      <c r="D95" s="155"/>
      <c r="E95" s="251"/>
      <c r="F95" s="251"/>
      <c r="G95" s="251"/>
      <c r="H95" s="251"/>
      <c r="I95" s="251"/>
    </row>
    <row r="96" spans="1:9">
      <c r="A96" s="415" t="s">
        <v>22</v>
      </c>
      <c r="B96" s="416"/>
      <c r="C96" s="417"/>
      <c r="D96" s="417"/>
      <c r="E96" s="387">
        <f>SUM(E13:E94)</f>
        <v>30138.600000000002</v>
      </c>
      <c r="F96" s="388"/>
      <c r="G96" s="389"/>
      <c r="H96" s="390"/>
      <c r="I96" s="391">
        <f>SUM(I13:I95)</f>
        <v>0</v>
      </c>
    </row>
  </sheetData>
  <autoFilter ref="A12:AA96" xr:uid="{00000000-0009-0000-0000-00000A000000}"/>
  <mergeCells count="1">
    <mergeCell ref="H3:L3"/>
  </mergeCells>
  <phoneticPr fontId="73" type="noConversion"/>
  <dataValidations disablePrompts="1" count="2">
    <dataValidation type="list" allowBlank="1" showInputMessage="1" showErrorMessage="1" sqref="C13:C94" xr:uid="{A56903C8-3F9B-4311-A32C-6EDB70957856}">
      <formula1>$I$3:$I$6</formula1>
    </dataValidation>
    <dataValidation type="list" allowBlank="1" showInputMessage="1" showErrorMessage="1" sqref="D13:D94" xr:uid="{C736CBFC-1565-48E2-8F22-639725E5CCC0}">
      <formula1>$F$3:$F$10</formula1>
    </dataValidation>
  </dataValidations>
  <printOptions horizontalCentered="1"/>
  <pageMargins left="0.7" right="0.7" top="0.75" bottom="0.75" header="0.3" footer="0.3"/>
  <pageSetup paperSize="9" scale="46" fitToHeight="0" orientation="landscape" r:id="rId1"/>
  <headerFooter alignWithMargins="0">
    <oddFooter>&amp;L&amp;"Georgia,Standaard"&amp;F-&amp;A&amp;Rprintversie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pageSetUpPr fitToPage="1"/>
  </sheetPr>
  <dimension ref="A1:R34"/>
  <sheetViews>
    <sheetView showGridLines="0" zoomScale="85" zoomScaleNormal="85" workbookViewId="0"/>
  </sheetViews>
  <sheetFormatPr defaultColWidth="9.1796875" defaultRowHeight="13"/>
  <cols>
    <col min="1" max="2" width="35.7265625" style="150" bestFit="1" customWidth="1"/>
    <col min="3" max="3" width="23.7265625" style="150" customWidth="1"/>
    <col min="4" max="6" width="12.81640625" style="150" customWidth="1"/>
    <col min="7" max="7" width="13.54296875" style="150" customWidth="1"/>
    <col min="8" max="12" width="12.81640625" style="150" customWidth="1"/>
    <col min="13" max="13" width="1.7265625" style="150" customWidth="1"/>
    <col min="14" max="14" width="12.81640625" style="150" customWidth="1"/>
    <col min="15" max="15" width="1.54296875" style="150" customWidth="1"/>
    <col min="16" max="17" width="12.81640625" style="150" customWidth="1"/>
    <col min="18" max="16384" width="9.1796875" style="21"/>
  </cols>
  <sheetData>
    <row r="1" spans="1:17">
      <c r="A1" s="406" t="s">
        <v>4</v>
      </c>
    </row>
    <row r="2" spans="1:17">
      <c r="A2" s="83"/>
      <c r="B2" s="160"/>
      <c r="C2" s="160"/>
    </row>
    <row r="3" spans="1:17" ht="15.5">
      <c r="A3" s="37" t="str">
        <f>'2-Kosten per locatie'!A3</f>
        <v>Naam opdrachtgever</v>
      </c>
      <c r="B3" s="141" t="str">
        <f>'2-Kosten per locatie'!B3</f>
        <v>Zaan Primair</v>
      </c>
    </row>
    <row r="4" spans="1:17" ht="15.5">
      <c r="A4" s="37" t="str">
        <f>'2-Kosten per locatie'!A4</f>
        <v>Calculatie onderdeel</v>
      </c>
      <c r="B4" s="46" t="str">
        <f ca="1">MID(CELL("bestandsnaam",$D$10),SEARCH("]",CELL("bestandsnaam",$D$10),1)+1,256)</f>
        <v>11-Machinekosten</v>
      </c>
    </row>
    <row r="5" spans="1:17" ht="15.5">
      <c r="A5" s="37" t="str">
        <f>'2-Kosten per locatie'!A5</f>
        <v>Gebouw/plaats</v>
      </c>
      <c r="B5" s="141" t="str">
        <f>'2-Kosten per locatie'!B5</f>
        <v>Divers</v>
      </c>
    </row>
    <row r="6" spans="1:17" ht="15.5">
      <c r="A6" s="37" t="str">
        <f>'2-Kosten per locatie'!A6</f>
        <v>Referentie nummer</v>
      </c>
      <c r="B6" s="141" t="str">
        <f>'2-Kosten per locatie'!B6</f>
        <v>Perceel 1 (Noordelijk gebied)</v>
      </c>
    </row>
    <row r="7" spans="1:17" ht="15.5">
      <c r="A7" s="37" t="str">
        <f>'2-Kosten per locatie'!A7</f>
        <v>Naam dienstverlener</v>
      </c>
      <c r="B7" s="141">
        <f>'2-Kosten per locatie'!B7</f>
        <v>0</v>
      </c>
    </row>
    <row r="8" spans="1:17" ht="15.5">
      <c r="A8" s="37" t="str">
        <f>'2-Kosten per locatie'!A8</f>
        <v>Prijspeil</v>
      </c>
      <c r="B8" s="252">
        <f>'2-Kosten per locatie'!B8</f>
        <v>46388</v>
      </c>
    </row>
    <row r="9" spans="1:17" ht="15.5">
      <c r="A9" s="140"/>
    </row>
    <row r="10" spans="1:17" ht="15.5">
      <c r="A10" s="161"/>
      <c r="B10" s="161"/>
      <c r="C10" s="162"/>
    </row>
    <row r="11" spans="1:17" s="34" customFormat="1" ht="62">
      <c r="A11" s="190" t="s">
        <v>15</v>
      </c>
      <c r="B11" s="190" t="s">
        <v>181</v>
      </c>
      <c r="C11" s="190" t="s">
        <v>182</v>
      </c>
      <c r="D11" s="190" t="s">
        <v>183</v>
      </c>
      <c r="E11" s="190" t="s">
        <v>184</v>
      </c>
      <c r="F11" s="190" t="s">
        <v>185</v>
      </c>
      <c r="G11" s="190" t="s">
        <v>186</v>
      </c>
      <c r="H11" s="190" t="s">
        <v>187</v>
      </c>
      <c r="I11" s="190" t="s">
        <v>188</v>
      </c>
      <c r="J11" s="190" t="s">
        <v>189</v>
      </c>
      <c r="K11" s="190" t="s">
        <v>190</v>
      </c>
      <c r="L11" s="190" t="s">
        <v>191</v>
      </c>
      <c r="M11" s="191"/>
      <c r="N11" s="190" t="s">
        <v>192</v>
      </c>
      <c r="O11" s="191"/>
      <c r="P11" s="190" t="s">
        <v>193</v>
      </c>
      <c r="Q11" s="190" t="s">
        <v>194</v>
      </c>
    </row>
    <row r="12" spans="1:17">
      <c r="D12" s="253"/>
      <c r="E12" s="254"/>
      <c r="F12" s="255"/>
      <c r="G12" s="253"/>
      <c r="H12" s="253"/>
      <c r="I12" s="256"/>
      <c r="J12" s="254"/>
      <c r="K12" s="254"/>
      <c r="L12" s="254"/>
      <c r="M12" s="256"/>
      <c r="N12" s="257"/>
      <c r="O12" s="256"/>
      <c r="P12" s="255"/>
      <c r="Q12" s="256"/>
    </row>
    <row r="13" spans="1:17">
      <c r="A13" s="169"/>
      <c r="B13" s="169"/>
      <c r="C13" s="170"/>
      <c r="D13" s="258"/>
      <c r="E13" s="259">
        <f>D13*$E$12</f>
        <v>0</v>
      </c>
      <c r="F13" s="260">
        <f>D13-E13</f>
        <v>0</v>
      </c>
      <c r="G13" s="261"/>
      <c r="H13" s="258"/>
      <c r="I13" s="262">
        <f>IF(G13=0,0,(F13-H13)/G13)</f>
        <v>0</v>
      </c>
      <c r="J13" s="263">
        <f>D13*$J$12</f>
        <v>0</v>
      </c>
      <c r="K13" s="262">
        <f>D13*$K$12</f>
        <v>0</v>
      </c>
      <c r="L13" s="264">
        <f>$L$12*D13</f>
        <v>0</v>
      </c>
      <c r="M13" s="256"/>
      <c r="N13" s="265">
        <f>SUM(I13:L13)</f>
        <v>0</v>
      </c>
      <c r="O13" s="256"/>
      <c r="P13" s="261"/>
      <c r="Q13" s="262">
        <f>N13*P13</f>
        <v>0</v>
      </c>
    </row>
    <row r="14" spans="1:17">
      <c r="A14" s="169"/>
      <c r="B14" s="169"/>
      <c r="C14" s="170"/>
      <c r="D14" s="258"/>
      <c r="E14" s="259">
        <f t="shared" ref="E14:E28" si="0">D14*$E$12</f>
        <v>0</v>
      </c>
      <c r="F14" s="260">
        <f>D14-E14</f>
        <v>0</v>
      </c>
      <c r="G14" s="261"/>
      <c r="H14" s="258"/>
      <c r="I14" s="262">
        <f>IF(G14=0,0,(F14-H14)/G14)</f>
        <v>0</v>
      </c>
      <c r="J14" s="263">
        <f>D14*$J$12</f>
        <v>0</v>
      </c>
      <c r="K14" s="262">
        <f>D14*$K$12</f>
        <v>0</v>
      </c>
      <c r="L14" s="264">
        <f>$L$12*D14</f>
        <v>0</v>
      </c>
      <c r="M14" s="256"/>
      <c r="N14" s="265">
        <f>SUM(I14:L14)</f>
        <v>0</v>
      </c>
      <c r="O14" s="256"/>
      <c r="P14" s="261"/>
      <c r="Q14" s="262">
        <f>N14*P14</f>
        <v>0</v>
      </c>
    </row>
    <row r="15" spans="1:17">
      <c r="A15" s="169"/>
      <c r="B15" s="169"/>
      <c r="C15" s="170"/>
      <c r="D15" s="258"/>
      <c r="E15" s="259">
        <f t="shared" si="0"/>
        <v>0</v>
      </c>
      <c r="F15" s="260">
        <f t="shared" ref="F15:F28" si="1">D15-E15</f>
        <v>0</v>
      </c>
      <c r="G15" s="261"/>
      <c r="H15" s="258"/>
      <c r="I15" s="262">
        <f t="shared" ref="I15:I28" si="2">IF(G15=0,0,(F15-H15)/G15)</f>
        <v>0</v>
      </c>
      <c r="J15" s="263">
        <f t="shared" ref="J15:J28" si="3">D15*$J$12</f>
        <v>0</v>
      </c>
      <c r="K15" s="262">
        <f t="shared" ref="K15:K28" si="4">D15*$K$12</f>
        <v>0</v>
      </c>
      <c r="L15" s="264">
        <f t="shared" ref="L15:L28" si="5">$L$12*D15</f>
        <v>0</v>
      </c>
      <c r="M15" s="256"/>
      <c r="N15" s="265">
        <f>SUM(I15:L15)</f>
        <v>0</v>
      </c>
      <c r="O15" s="256"/>
      <c r="P15" s="261"/>
      <c r="Q15" s="262">
        <f t="shared" ref="Q15:Q28" si="6">N15*P15</f>
        <v>0</v>
      </c>
    </row>
    <row r="16" spans="1:17">
      <c r="A16" s="169"/>
      <c r="B16" s="169"/>
      <c r="C16" s="170"/>
      <c r="D16" s="258"/>
      <c r="E16" s="259">
        <f t="shared" si="0"/>
        <v>0</v>
      </c>
      <c r="F16" s="260">
        <f t="shared" si="1"/>
        <v>0</v>
      </c>
      <c r="G16" s="261"/>
      <c r="H16" s="258"/>
      <c r="I16" s="262">
        <f t="shared" si="2"/>
        <v>0</v>
      </c>
      <c r="J16" s="263">
        <f t="shared" si="3"/>
        <v>0</v>
      </c>
      <c r="K16" s="262">
        <f t="shared" si="4"/>
        <v>0</v>
      </c>
      <c r="L16" s="264">
        <f t="shared" si="5"/>
        <v>0</v>
      </c>
      <c r="M16" s="256"/>
      <c r="N16" s="265">
        <f>SUM(I16:L16)</f>
        <v>0</v>
      </c>
      <c r="O16" s="256"/>
      <c r="P16" s="261"/>
      <c r="Q16" s="262">
        <f t="shared" si="6"/>
        <v>0</v>
      </c>
    </row>
    <row r="17" spans="1:17">
      <c r="A17" s="169"/>
      <c r="B17" s="169"/>
      <c r="C17" s="170"/>
      <c r="D17" s="258"/>
      <c r="E17" s="259">
        <f t="shared" si="0"/>
        <v>0</v>
      </c>
      <c r="F17" s="260">
        <f t="shared" si="1"/>
        <v>0</v>
      </c>
      <c r="G17" s="261"/>
      <c r="H17" s="258"/>
      <c r="I17" s="262">
        <f t="shared" si="2"/>
        <v>0</v>
      </c>
      <c r="J17" s="263">
        <f t="shared" si="3"/>
        <v>0</v>
      </c>
      <c r="K17" s="262">
        <f t="shared" si="4"/>
        <v>0</v>
      </c>
      <c r="L17" s="264">
        <f t="shared" si="5"/>
        <v>0</v>
      </c>
      <c r="M17" s="256"/>
      <c r="N17" s="265">
        <f t="shared" ref="N17:N28" si="7">SUM(I17:L17)</f>
        <v>0</v>
      </c>
      <c r="O17" s="256"/>
      <c r="P17" s="261"/>
      <c r="Q17" s="262">
        <f t="shared" si="6"/>
        <v>0</v>
      </c>
    </row>
    <row r="18" spans="1:17">
      <c r="A18" s="169"/>
      <c r="B18" s="169"/>
      <c r="C18" s="170"/>
      <c r="D18" s="258"/>
      <c r="E18" s="259">
        <f t="shared" si="0"/>
        <v>0</v>
      </c>
      <c r="F18" s="260">
        <f t="shared" si="1"/>
        <v>0</v>
      </c>
      <c r="G18" s="261"/>
      <c r="H18" s="258"/>
      <c r="I18" s="262">
        <f t="shared" si="2"/>
        <v>0</v>
      </c>
      <c r="J18" s="263">
        <f t="shared" si="3"/>
        <v>0</v>
      </c>
      <c r="K18" s="262">
        <f t="shared" si="4"/>
        <v>0</v>
      </c>
      <c r="L18" s="264">
        <f t="shared" si="5"/>
        <v>0</v>
      </c>
      <c r="M18" s="256"/>
      <c r="N18" s="265">
        <f t="shared" si="7"/>
        <v>0</v>
      </c>
      <c r="O18" s="256"/>
      <c r="P18" s="261"/>
      <c r="Q18" s="262">
        <f t="shared" si="6"/>
        <v>0</v>
      </c>
    </row>
    <row r="19" spans="1:17">
      <c r="A19" s="169"/>
      <c r="B19" s="169"/>
      <c r="C19" s="170"/>
      <c r="D19" s="258"/>
      <c r="E19" s="259">
        <f t="shared" si="0"/>
        <v>0</v>
      </c>
      <c r="F19" s="260">
        <f t="shared" si="1"/>
        <v>0</v>
      </c>
      <c r="G19" s="261"/>
      <c r="H19" s="258"/>
      <c r="I19" s="262">
        <f t="shared" si="2"/>
        <v>0</v>
      </c>
      <c r="J19" s="263">
        <f t="shared" si="3"/>
        <v>0</v>
      </c>
      <c r="K19" s="262">
        <f t="shared" si="4"/>
        <v>0</v>
      </c>
      <c r="L19" s="264">
        <f t="shared" si="5"/>
        <v>0</v>
      </c>
      <c r="M19" s="256"/>
      <c r="N19" s="265">
        <f t="shared" si="7"/>
        <v>0</v>
      </c>
      <c r="O19" s="256"/>
      <c r="P19" s="261"/>
      <c r="Q19" s="262">
        <f t="shared" si="6"/>
        <v>0</v>
      </c>
    </row>
    <row r="20" spans="1:17">
      <c r="A20" s="169"/>
      <c r="B20" s="169"/>
      <c r="C20" s="170"/>
      <c r="D20" s="258"/>
      <c r="E20" s="259">
        <f t="shared" si="0"/>
        <v>0</v>
      </c>
      <c r="F20" s="260">
        <f t="shared" si="1"/>
        <v>0</v>
      </c>
      <c r="G20" s="261"/>
      <c r="H20" s="258"/>
      <c r="I20" s="262">
        <f t="shared" si="2"/>
        <v>0</v>
      </c>
      <c r="J20" s="263">
        <f t="shared" si="3"/>
        <v>0</v>
      </c>
      <c r="K20" s="262">
        <f t="shared" si="4"/>
        <v>0</v>
      </c>
      <c r="L20" s="264">
        <f t="shared" si="5"/>
        <v>0</v>
      </c>
      <c r="M20" s="256"/>
      <c r="N20" s="265">
        <f t="shared" si="7"/>
        <v>0</v>
      </c>
      <c r="O20" s="256"/>
      <c r="P20" s="261"/>
      <c r="Q20" s="262">
        <f t="shared" si="6"/>
        <v>0</v>
      </c>
    </row>
    <row r="21" spans="1:17">
      <c r="A21" s="169"/>
      <c r="B21" s="169"/>
      <c r="C21" s="170"/>
      <c r="D21" s="258"/>
      <c r="E21" s="259">
        <f t="shared" si="0"/>
        <v>0</v>
      </c>
      <c r="F21" s="260">
        <f t="shared" si="1"/>
        <v>0</v>
      </c>
      <c r="G21" s="261"/>
      <c r="H21" s="258"/>
      <c r="I21" s="262">
        <f t="shared" si="2"/>
        <v>0</v>
      </c>
      <c r="J21" s="263">
        <f t="shared" si="3"/>
        <v>0</v>
      </c>
      <c r="K21" s="262">
        <f t="shared" si="4"/>
        <v>0</v>
      </c>
      <c r="L21" s="264">
        <f t="shared" si="5"/>
        <v>0</v>
      </c>
      <c r="M21" s="256"/>
      <c r="N21" s="265">
        <f t="shared" si="7"/>
        <v>0</v>
      </c>
      <c r="O21" s="256"/>
      <c r="P21" s="261"/>
      <c r="Q21" s="262">
        <f t="shared" si="6"/>
        <v>0</v>
      </c>
    </row>
    <row r="22" spans="1:17">
      <c r="A22" s="169"/>
      <c r="B22" s="169"/>
      <c r="C22" s="170"/>
      <c r="D22" s="258"/>
      <c r="E22" s="259">
        <f t="shared" si="0"/>
        <v>0</v>
      </c>
      <c r="F22" s="260">
        <f t="shared" si="1"/>
        <v>0</v>
      </c>
      <c r="G22" s="261"/>
      <c r="H22" s="258"/>
      <c r="I22" s="262">
        <f t="shared" si="2"/>
        <v>0</v>
      </c>
      <c r="J22" s="263">
        <f t="shared" si="3"/>
        <v>0</v>
      </c>
      <c r="K22" s="262">
        <f t="shared" si="4"/>
        <v>0</v>
      </c>
      <c r="L22" s="264">
        <f t="shared" si="5"/>
        <v>0</v>
      </c>
      <c r="M22" s="256"/>
      <c r="N22" s="265">
        <f t="shared" si="7"/>
        <v>0</v>
      </c>
      <c r="O22" s="256"/>
      <c r="P22" s="261"/>
      <c r="Q22" s="262">
        <f t="shared" si="6"/>
        <v>0</v>
      </c>
    </row>
    <row r="23" spans="1:17">
      <c r="A23" s="169"/>
      <c r="B23" s="169"/>
      <c r="C23" s="170"/>
      <c r="D23" s="258"/>
      <c r="E23" s="259">
        <f t="shared" si="0"/>
        <v>0</v>
      </c>
      <c r="F23" s="260">
        <f t="shared" si="1"/>
        <v>0</v>
      </c>
      <c r="G23" s="261"/>
      <c r="H23" s="258"/>
      <c r="I23" s="262">
        <f t="shared" si="2"/>
        <v>0</v>
      </c>
      <c r="J23" s="263">
        <f t="shared" si="3"/>
        <v>0</v>
      </c>
      <c r="K23" s="262">
        <f t="shared" si="4"/>
        <v>0</v>
      </c>
      <c r="L23" s="264">
        <f t="shared" si="5"/>
        <v>0</v>
      </c>
      <c r="M23" s="256"/>
      <c r="N23" s="265">
        <f t="shared" si="7"/>
        <v>0</v>
      </c>
      <c r="O23" s="256"/>
      <c r="P23" s="261"/>
      <c r="Q23" s="262">
        <f t="shared" si="6"/>
        <v>0</v>
      </c>
    </row>
    <row r="24" spans="1:17">
      <c r="A24" s="169"/>
      <c r="B24" s="169"/>
      <c r="C24" s="170"/>
      <c r="D24" s="258"/>
      <c r="E24" s="259">
        <f t="shared" si="0"/>
        <v>0</v>
      </c>
      <c r="F24" s="260">
        <f t="shared" si="1"/>
        <v>0</v>
      </c>
      <c r="G24" s="261"/>
      <c r="H24" s="258"/>
      <c r="I24" s="262">
        <f t="shared" si="2"/>
        <v>0</v>
      </c>
      <c r="J24" s="263">
        <f t="shared" si="3"/>
        <v>0</v>
      </c>
      <c r="K24" s="262">
        <f t="shared" si="4"/>
        <v>0</v>
      </c>
      <c r="L24" s="264">
        <f t="shared" si="5"/>
        <v>0</v>
      </c>
      <c r="M24" s="256"/>
      <c r="N24" s="265">
        <f t="shared" si="7"/>
        <v>0</v>
      </c>
      <c r="O24" s="256"/>
      <c r="P24" s="261"/>
      <c r="Q24" s="262">
        <f t="shared" si="6"/>
        <v>0</v>
      </c>
    </row>
    <row r="25" spans="1:17">
      <c r="A25" s="169"/>
      <c r="B25" s="169"/>
      <c r="C25" s="170"/>
      <c r="D25" s="258"/>
      <c r="E25" s="259">
        <f t="shared" si="0"/>
        <v>0</v>
      </c>
      <c r="F25" s="260">
        <f t="shared" si="1"/>
        <v>0</v>
      </c>
      <c r="G25" s="261"/>
      <c r="H25" s="258"/>
      <c r="I25" s="262">
        <f t="shared" si="2"/>
        <v>0</v>
      </c>
      <c r="J25" s="263">
        <f t="shared" si="3"/>
        <v>0</v>
      </c>
      <c r="K25" s="262">
        <f t="shared" si="4"/>
        <v>0</v>
      </c>
      <c r="L25" s="264">
        <f t="shared" si="5"/>
        <v>0</v>
      </c>
      <c r="M25" s="256"/>
      <c r="N25" s="265">
        <f t="shared" si="7"/>
        <v>0</v>
      </c>
      <c r="O25" s="256"/>
      <c r="P25" s="261"/>
      <c r="Q25" s="262">
        <f t="shared" si="6"/>
        <v>0</v>
      </c>
    </row>
    <row r="26" spans="1:17">
      <c r="A26" s="169"/>
      <c r="B26" s="169"/>
      <c r="C26" s="170"/>
      <c r="D26" s="258"/>
      <c r="E26" s="259">
        <f t="shared" si="0"/>
        <v>0</v>
      </c>
      <c r="F26" s="260">
        <f t="shared" si="1"/>
        <v>0</v>
      </c>
      <c r="G26" s="261"/>
      <c r="H26" s="258"/>
      <c r="I26" s="262">
        <f t="shared" si="2"/>
        <v>0</v>
      </c>
      <c r="J26" s="263">
        <f t="shared" si="3"/>
        <v>0</v>
      </c>
      <c r="K26" s="262">
        <f t="shared" si="4"/>
        <v>0</v>
      </c>
      <c r="L26" s="264">
        <f t="shared" si="5"/>
        <v>0</v>
      </c>
      <c r="M26" s="256"/>
      <c r="N26" s="265">
        <f t="shared" si="7"/>
        <v>0</v>
      </c>
      <c r="O26" s="256"/>
      <c r="P26" s="261"/>
      <c r="Q26" s="262">
        <f t="shared" si="6"/>
        <v>0</v>
      </c>
    </row>
    <row r="27" spans="1:17">
      <c r="A27" s="169"/>
      <c r="B27" s="169"/>
      <c r="C27" s="170"/>
      <c r="D27" s="258"/>
      <c r="E27" s="259">
        <f t="shared" si="0"/>
        <v>0</v>
      </c>
      <c r="F27" s="260">
        <f t="shared" si="1"/>
        <v>0</v>
      </c>
      <c r="G27" s="261"/>
      <c r="H27" s="258"/>
      <c r="I27" s="262">
        <f t="shared" si="2"/>
        <v>0</v>
      </c>
      <c r="J27" s="263">
        <f t="shared" si="3"/>
        <v>0</v>
      </c>
      <c r="K27" s="262">
        <f t="shared" si="4"/>
        <v>0</v>
      </c>
      <c r="L27" s="264">
        <f t="shared" si="5"/>
        <v>0</v>
      </c>
      <c r="M27" s="256"/>
      <c r="N27" s="265">
        <f t="shared" si="7"/>
        <v>0</v>
      </c>
      <c r="O27" s="256"/>
      <c r="P27" s="261"/>
      <c r="Q27" s="262">
        <f t="shared" si="6"/>
        <v>0</v>
      </c>
    </row>
    <row r="28" spans="1:17">
      <c r="A28" s="169"/>
      <c r="B28" s="169"/>
      <c r="C28" s="170"/>
      <c r="D28" s="258"/>
      <c r="E28" s="259">
        <f t="shared" si="0"/>
        <v>0</v>
      </c>
      <c r="F28" s="260">
        <f t="shared" si="1"/>
        <v>0</v>
      </c>
      <c r="G28" s="261"/>
      <c r="H28" s="258"/>
      <c r="I28" s="262">
        <f t="shared" si="2"/>
        <v>0</v>
      </c>
      <c r="J28" s="263">
        <f t="shared" si="3"/>
        <v>0</v>
      </c>
      <c r="K28" s="262">
        <f t="shared" si="4"/>
        <v>0</v>
      </c>
      <c r="L28" s="264">
        <f t="shared" si="5"/>
        <v>0</v>
      </c>
      <c r="M28" s="256"/>
      <c r="N28" s="265">
        <f t="shared" si="7"/>
        <v>0</v>
      </c>
      <c r="O28" s="256"/>
      <c r="P28" s="261"/>
      <c r="Q28" s="262">
        <f t="shared" si="6"/>
        <v>0</v>
      </c>
    </row>
    <row r="29" spans="1:17">
      <c r="D29" s="256"/>
      <c r="E29" s="256"/>
      <c r="F29" s="256"/>
      <c r="G29" s="256"/>
      <c r="H29" s="256"/>
      <c r="I29" s="256"/>
      <c r="J29" s="256"/>
      <c r="K29" s="256"/>
      <c r="L29" s="256"/>
      <c r="M29" s="256"/>
      <c r="N29" s="256"/>
      <c r="O29" s="256"/>
      <c r="P29" s="256"/>
      <c r="Q29" s="256"/>
    </row>
    <row r="30" spans="1:17">
      <c r="A30" s="163"/>
      <c r="B30" s="163" t="s">
        <v>22</v>
      </c>
      <c r="C30" s="164"/>
      <c r="D30" s="266"/>
      <c r="E30" s="266"/>
      <c r="F30" s="266"/>
      <c r="G30" s="266"/>
      <c r="H30" s="266"/>
      <c r="I30" s="266"/>
      <c r="J30" s="266"/>
      <c r="K30" s="266"/>
      <c r="L30" s="267"/>
      <c r="M30" s="256"/>
      <c r="N30" s="256"/>
      <c r="O30" s="256"/>
      <c r="P30" s="487">
        <f>SUM(P13:P29)</f>
        <v>0</v>
      </c>
      <c r="Q30" s="268">
        <f>SUM(Q13:Q28)</f>
        <v>0</v>
      </c>
    </row>
    <row r="34" spans="18:18">
      <c r="R34" s="35"/>
    </row>
  </sheetData>
  <pageMargins left="0.7" right="0.7" top="0.75" bottom="0.75" header="0.3" footer="0.3"/>
  <pageSetup paperSize="9" scale="52" fitToHeight="0" orientation="landscape" r:id="rId1"/>
  <headerFooter>
    <oddFooter>&amp;L&amp;"Georgia,Standaard"&amp;F-&amp;A&amp;R&amp;"Georgia,Standaard"printversie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P37"/>
  <sheetViews>
    <sheetView showGridLines="0" showZeros="0" zoomScale="85" zoomScaleNormal="85" workbookViewId="0"/>
  </sheetViews>
  <sheetFormatPr defaultColWidth="8.7265625" defaultRowHeight="14.15" customHeight="1"/>
  <cols>
    <col min="1" max="1" width="37.6328125" style="39" customWidth="1"/>
    <col min="2" max="2" width="19.26953125" style="39" customWidth="1"/>
    <col min="3" max="3" width="18.1796875" style="39" customWidth="1"/>
    <col min="4" max="4" width="16" style="40" customWidth="1"/>
    <col min="5" max="5" width="13.7265625" style="40" customWidth="1"/>
    <col min="6" max="6" width="14.7265625" style="40" customWidth="1"/>
    <col min="7" max="7" width="13.7265625" style="40" customWidth="1"/>
    <col min="8" max="8" width="2.81640625" style="40" customWidth="1"/>
    <col min="9" max="9" width="16.81640625" style="40" customWidth="1"/>
    <col min="10" max="10" width="15.1796875" style="40" customWidth="1"/>
    <col min="11" max="11" width="18" style="40" customWidth="1"/>
    <col min="12" max="12" width="17.7265625" style="40" customWidth="1"/>
    <col min="13" max="13" width="30" style="40" customWidth="1"/>
    <col min="14" max="14" width="19.08984375" style="40" customWidth="1"/>
    <col min="15" max="15" width="34.54296875" style="40" customWidth="1"/>
    <col min="16" max="16384" width="8.7265625" style="39"/>
  </cols>
  <sheetData>
    <row r="1" spans="1:15" ht="14.15" customHeight="1">
      <c r="A1" s="269" t="s">
        <v>4</v>
      </c>
      <c r="E1" s="203" t="s">
        <v>5</v>
      </c>
      <c r="F1" s="204"/>
      <c r="G1" s="41"/>
      <c r="J1" s="205" t="s">
        <v>6</v>
      </c>
      <c r="K1" s="206"/>
      <c r="L1" s="206"/>
      <c r="M1" s="207"/>
      <c r="N1" s="192" t="e">
        <f>M34</f>
        <v>#DIV/0!</v>
      </c>
    </row>
    <row r="2" spans="1:15" ht="14.15" customHeight="1">
      <c r="E2" s="193"/>
      <c r="F2" s="42" t="s">
        <v>7</v>
      </c>
      <c r="G2" s="41"/>
      <c r="J2" s="43" t="s">
        <v>681</v>
      </c>
      <c r="K2" s="44"/>
      <c r="L2" s="44"/>
      <c r="M2" s="45">
        <v>0.21</v>
      </c>
      <c r="N2" s="194" t="e">
        <f>M2*N1</f>
        <v>#DIV/0!</v>
      </c>
    </row>
    <row r="3" spans="1:15" ht="14.15" customHeight="1">
      <c r="A3" s="37" t="s">
        <v>0</v>
      </c>
      <c r="B3" s="46" t="s">
        <v>611</v>
      </c>
      <c r="C3" s="37"/>
      <c r="D3" s="41"/>
      <c r="E3" s="41"/>
      <c r="G3" s="41"/>
      <c r="H3" s="41"/>
      <c r="I3" s="41"/>
      <c r="J3" s="43" t="s">
        <v>682</v>
      </c>
      <c r="K3" s="44"/>
      <c r="L3" s="44"/>
      <c r="M3" s="44"/>
      <c r="N3" s="195" t="e">
        <f>N1+N2</f>
        <v>#DIV/0!</v>
      </c>
    </row>
    <row r="4" spans="1:15" ht="47.5" customHeight="1">
      <c r="A4" s="37" t="s">
        <v>1</v>
      </c>
      <c r="B4" s="46" t="str">
        <f ca="1">MID(CELL("bestandsnaam",$B$13),SEARCH("]",CELL("bestandsnaam",$B$13),1)+1,256)</f>
        <v>2-Kosten per locatie</v>
      </c>
      <c r="C4" s="46"/>
      <c r="D4" s="41"/>
      <c r="E4" s="203" t="s">
        <v>8</v>
      </c>
      <c r="F4" s="204"/>
      <c r="G4" s="41"/>
      <c r="H4" s="41"/>
      <c r="I4" s="41"/>
      <c r="J4" s="44"/>
      <c r="K4" s="44"/>
      <c r="L4" s="44"/>
      <c r="M4" s="44"/>
      <c r="N4" s="79"/>
    </row>
    <row r="5" spans="1:15" ht="15.5">
      <c r="A5" s="37" t="s">
        <v>2</v>
      </c>
      <c r="B5" s="46" t="s">
        <v>612</v>
      </c>
      <c r="C5" s="37"/>
      <c r="D5" s="41"/>
      <c r="E5" s="196"/>
      <c r="F5" s="42" t="s">
        <v>9</v>
      </c>
      <c r="G5" s="41"/>
      <c r="H5" s="41"/>
      <c r="I5" s="41"/>
      <c r="J5" s="208" t="s">
        <v>10</v>
      </c>
      <c r="K5" s="209"/>
      <c r="L5" s="209"/>
      <c r="M5" s="209"/>
      <c r="N5" s="197">
        <v>440000</v>
      </c>
    </row>
    <row r="6" spans="1:15" ht="14.15" customHeight="1">
      <c r="A6" s="37" t="s">
        <v>3</v>
      </c>
      <c r="B6" s="46" t="s">
        <v>733</v>
      </c>
      <c r="C6" s="37"/>
      <c r="D6" s="41"/>
      <c r="E6" s="41"/>
      <c r="F6" s="41"/>
      <c r="G6" s="41"/>
      <c r="H6" s="41"/>
      <c r="I6" s="41"/>
      <c r="J6" s="208" t="s">
        <v>11</v>
      </c>
      <c r="K6" s="209"/>
      <c r="L6" s="209"/>
      <c r="M6" s="209"/>
      <c r="N6" s="197">
        <v>370000</v>
      </c>
    </row>
    <row r="7" spans="1:15" ht="14.15" customHeight="1">
      <c r="A7" s="37" t="s">
        <v>12</v>
      </c>
      <c r="B7" s="167"/>
      <c r="C7" s="168"/>
      <c r="D7" s="41"/>
      <c r="E7" s="41"/>
      <c r="F7" s="41"/>
      <c r="G7" s="41"/>
      <c r="H7" s="41"/>
      <c r="I7" s="41"/>
      <c r="J7" s="41"/>
      <c r="K7" s="41"/>
    </row>
    <row r="8" spans="1:15" ht="14.15" customHeight="1">
      <c r="A8" s="37" t="s">
        <v>13</v>
      </c>
      <c r="B8" s="47">
        <v>46388</v>
      </c>
      <c r="C8" s="37"/>
      <c r="D8" s="41"/>
      <c r="E8" s="41"/>
      <c r="F8" s="41"/>
      <c r="G8" s="41"/>
      <c r="H8" s="41"/>
      <c r="I8" s="41"/>
      <c r="J8" s="208" t="s">
        <v>195</v>
      </c>
      <c r="K8" s="209"/>
      <c r="L8" s="209"/>
      <c r="M8" s="209"/>
      <c r="N8" s="413"/>
    </row>
    <row r="9" spans="1:15" ht="14.15" customHeight="1">
      <c r="A9" s="37" t="s">
        <v>14</v>
      </c>
      <c r="B9" s="48" t="s">
        <v>721</v>
      </c>
      <c r="C9" s="37"/>
      <c r="D9" s="41"/>
      <c r="E9" s="41"/>
      <c r="F9" s="41"/>
      <c r="G9" s="41"/>
      <c r="H9" s="41"/>
      <c r="I9" s="41"/>
      <c r="J9" s="411" t="s">
        <v>196</v>
      </c>
      <c r="K9" s="49"/>
    </row>
    <row r="10" spans="1:15" ht="14.15" customHeight="1">
      <c r="A10" s="37"/>
      <c r="B10" s="37"/>
      <c r="C10" s="37"/>
      <c r="D10" s="41"/>
      <c r="E10" s="41"/>
      <c r="F10" s="41"/>
      <c r="G10" s="41"/>
      <c r="H10" s="41"/>
      <c r="I10" s="41"/>
      <c r="J10" s="412" t="s">
        <v>197</v>
      </c>
      <c r="K10" s="50"/>
    </row>
    <row r="11" spans="1:15" ht="14.15" customHeight="1">
      <c r="A11" s="37"/>
      <c r="B11" s="37"/>
      <c r="C11" s="37"/>
      <c r="D11" s="41"/>
      <c r="E11" s="41"/>
      <c r="F11" s="41"/>
      <c r="G11" s="41"/>
      <c r="H11" s="41"/>
      <c r="I11" s="41"/>
      <c r="J11" s="49"/>
      <c r="K11" s="41"/>
      <c r="L11" s="41"/>
      <c r="M11" s="41"/>
      <c r="N11" s="41"/>
    </row>
    <row r="12" spans="1:15" ht="15.5">
      <c r="C12" s="47"/>
      <c r="J12" s="50"/>
    </row>
    <row r="13" spans="1:15" ht="18" customHeight="1">
      <c r="A13" s="51"/>
      <c r="B13" s="51"/>
      <c r="C13" s="51"/>
      <c r="D13" s="51"/>
      <c r="E13" s="51"/>
      <c r="F13" s="51"/>
      <c r="G13" s="51"/>
      <c r="H13" s="51"/>
      <c r="I13" s="51"/>
      <c r="J13" s="50"/>
    </row>
    <row r="14" spans="1:15" ht="78" customHeight="1">
      <c r="A14" s="270" t="s">
        <v>15</v>
      </c>
      <c r="B14" s="210" t="s">
        <v>708</v>
      </c>
      <c r="C14" s="210" t="s">
        <v>16</v>
      </c>
      <c r="D14" s="211" t="s">
        <v>17</v>
      </c>
      <c r="E14" s="212" t="s">
        <v>18</v>
      </c>
      <c r="F14" s="212" t="s">
        <v>19</v>
      </c>
      <c r="G14" s="212" t="s">
        <v>20</v>
      </c>
      <c r="H14" s="41"/>
      <c r="I14" s="213" t="s">
        <v>732</v>
      </c>
      <c r="J14" s="213" t="s">
        <v>23</v>
      </c>
      <c r="K14" s="213" t="s">
        <v>24</v>
      </c>
      <c r="L14" s="213" t="s">
        <v>25</v>
      </c>
      <c r="M14" s="213" t="s">
        <v>26</v>
      </c>
      <c r="N14" s="213" t="s">
        <v>27</v>
      </c>
      <c r="O14" s="270" t="s">
        <v>719</v>
      </c>
    </row>
    <row r="15" spans="1:15" ht="15" customHeight="1">
      <c r="A15" s="418" t="s">
        <v>204</v>
      </c>
      <c r="B15" s="396">
        <f>SUMIF('4-Basis ruimtestaat'!B:B,'2-Kosten per locatie'!A15,'4-Basis ruimtestaat'!K:K)-SUMIFS('4-Basis ruimtestaat'!K:K,'4-Basis ruimtestaat'!B:B,'2-Kosten per locatie'!A15,'4-Basis ruimtestaat'!M:M,"nio")</f>
        <v>1510.2</v>
      </c>
      <c r="C15" s="198"/>
      <c r="D15" s="199">
        <f>_xlfn.MAXIFS('4-Basis ruimtestaat'!M:M,'4-Basis ruimtestaat'!B:B,'2-Kosten per locatie'!A15)</f>
        <v>200</v>
      </c>
      <c r="E15" s="398" t="e">
        <f>SUMIF('4-Basis ruimtestaat'!B:B,'2-Kosten per locatie'!A15,'4-Basis ruimtestaat'!N:N)</f>
        <v>#DIV/0!</v>
      </c>
      <c r="F15" s="398" t="e">
        <f t="shared" ref="F15:F33" si="0">IF(E15&lt;(D15*$E$2),D15*$E$2-E15,0)</f>
        <v>#DIV/0!</v>
      </c>
      <c r="G15" s="398" t="e">
        <f t="shared" ref="G15:G33" si="1">E15*$E$5</f>
        <v>#DIV/0!</v>
      </c>
      <c r="H15" s="41"/>
      <c r="I15" s="53" t="e">
        <f>(E15+F15)*'6-Opbouw uurtarief productie'!$E$46</f>
        <v>#DIV/0!</v>
      </c>
      <c r="J15" s="54" t="e">
        <f>G15*'7-Opbouw uurtarief toezicht'!$E$46</f>
        <v>#DIV/0!</v>
      </c>
      <c r="K15" s="202">
        <f>SUMIF('10-Vloeronderhoud'!A:A,'2-Kosten per locatie'!A15,'10-Vloeronderhoud'!I:I)</f>
        <v>0</v>
      </c>
      <c r="L15" s="274">
        <f>SUMIF('8-Additionele kosten'!A:A,'2-Kosten per locatie'!A15,'8-Additionele kosten'!G:G)</f>
        <v>0</v>
      </c>
      <c r="M15" s="488" t="e">
        <f t="shared" ref="M15:M33" si="2">SUM(I15:L15)</f>
        <v>#DIV/0!</v>
      </c>
      <c r="N15" s="274" t="e">
        <f t="shared" ref="N15:N33" si="3">M15/12</f>
        <v>#DIV/0!</v>
      </c>
      <c r="O15" s="423" t="s">
        <v>720</v>
      </c>
    </row>
    <row r="16" spans="1:15" ht="15" customHeight="1">
      <c r="A16" s="418" t="s">
        <v>203</v>
      </c>
      <c r="B16" s="396">
        <f>SUMIF('4-Basis ruimtestaat'!B:B,'2-Kosten per locatie'!A16,'4-Basis ruimtestaat'!K:K)-SUMIFS('4-Basis ruimtestaat'!K:K,'4-Basis ruimtestaat'!B:B,'2-Kosten per locatie'!A16,'4-Basis ruimtestaat'!M:M,"nio")</f>
        <v>1080.0999999999999</v>
      </c>
      <c r="C16" s="198"/>
      <c r="D16" s="199">
        <f>_xlfn.MAXIFS('4-Basis ruimtestaat'!M:M,'4-Basis ruimtestaat'!B:B,'2-Kosten per locatie'!A16)</f>
        <v>200</v>
      </c>
      <c r="E16" s="398" t="e">
        <f>SUMIF('4-Basis ruimtestaat'!B:B,'2-Kosten per locatie'!A16,'4-Basis ruimtestaat'!N:N)</f>
        <v>#DIV/0!</v>
      </c>
      <c r="F16" s="398" t="e">
        <f t="shared" si="0"/>
        <v>#DIV/0!</v>
      </c>
      <c r="G16" s="398" t="e">
        <f t="shared" si="1"/>
        <v>#DIV/0!</v>
      </c>
      <c r="H16" s="41"/>
      <c r="I16" s="53" t="e">
        <f>(E16+F16)*'6-Opbouw uurtarief productie'!$E$46</f>
        <v>#DIV/0!</v>
      </c>
      <c r="J16" s="54" t="e">
        <f>G16*'7-Opbouw uurtarief toezicht'!$E$46</f>
        <v>#DIV/0!</v>
      </c>
      <c r="K16" s="202">
        <f>SUMIF('10-Vloeronderhoud'!A:A,'2-Kosten per locatie'!A16,'10-Vloeronderhoud'!I:I)</f>
        <v>0</v>
      </c>
      <c r="L16" s="274">
        <f>SUMIF('8-Additionele kosten'!A:A,'2-Kosten per locatie'!A16,'8-Additionele kosten'!G:G)</f>
        <v>0</v>
      </c>
      <c r="M16" s="488" t="e">
        <f t="shared" si="2"/>
        <v>#DIV/0!</v>
      </c>
      <c r="N16" s="274" t="e">
        <f t="shared" si="3"/>
        <v>#DIV/0!</v>
      </c>
      <c r="O16" s="423" t="s">
        <v>720</v>
      </c>
    </row>
    <row r="17" spans="1:15" ht="15" customHeight="1">
      <c r="A17" s="418" t="s">
        <v>205</v>
      </c>
      <c r="B17" s="396">
        <f>SUMIF('4-Basis ruimtestaat'!B:B,'2-Kosten per locatie'!A17,'4-Basis ruimtestaat'!K:K)-SUMIFS('4-Basis ruimtestaat'!K:K,'4-Basis ruimtestaat'!B:B,'2-Kosten per locatie'!A17,'4-Basis ruimtestaat'!M:M,"nio")</f>
        <v>997.4399999999996</v>
      </c>
      <c r="C17" s="198"/>
      <c r="D17" s="199">
        <f>_xlfn.MAXIFS('4-Basis ruimtestaat'!M:M,'4-Basis ruimtestaat'!B:B,'2-Kosten per locatie'!A17)</f>
        <v>200</v>
      </c>
      <c r="E17" s="398" t="e">
        <f>SUMIF('4-Basis ruimtestaat'!B:B,'2-Kosten per locatie'!A17,'4-Basis ruimtestaat'!N:N)</f>
        <v>#DIV/0!</v>
      </c>
      <c r="F17" s="398" t="e">
        <f t="shared" si="0"/>
        <v>#DIV/0!</v>
      </c>
      <c r="G17" s="398" t="e">
        <f t="shared" si="1"/>
        <v>#DIV/0!</v>
      </c>
      <c r="H17" s="41"/>
      <c r="I17" s="53" t="e">
        <f>(E17+F17)*'6-Opbouw uurtarief productie'!$E$46</f>
        <v>#DIV/0!</v>
      </c>
      <c r="J17" s="54" t="e">
        <f>G17*'7-Opbouw uurtarief toezicht'!$E$46</f>
        <v>#DIV/0!</v>
      </c>
      <c r="K17" s="202">
        <f>SUMIF('10-Vloeronderhoud'!A:A,'2-Kosten per locatie'!A17,'10-Vloeronderhoud'!I:I)</f>
        <v>0</v>
      </c>
      <c r="L17" s="274">
        <f>SUMIF('8-Additionele kosten'!A:A,'2-Kosten per locatie'!A17,'8-Additionele kosten'!G:G)</f>
        <v>0</v>
      </c>
      <c r="M17" s="488" t="e">
        <f t="shared" si="2"/>
        <v>#DIV/0!</v>
      </c>
      <c r="N17" s="274" t="e">
        <f t="shared" si="3"/>
        <v>#DIV/0!</v>
      </c>
      <c r="O17" s="423" t="s">
        <v>720</v>
      </c>
    </row>
    <row r="18" spans="1:15" ht="15" customHeight="1">
      <c r="A18" s="418" t="s">
        <v>210</v>
      </c>
      <c r="B18" s="396">
        <f>SUMIF('4-Basis ruimtestaat'!B:B,'2-Kosten per locatie'!A18,'4-Basis ruimtestaat'!K:K)-SUMIFS('4-Basis ruimtestaat'!K:K,'4-Basis ruimtestaat'!B:B,'2-Kosten per locatie'!A18,'4-Basis ruimtestaat'!M:M,"nio")</f>
        <v>1507.6</v>
      </c>
      <c r="C18" s="198"/>
      <c r="D18" s="199">
        <f>_xlfn.MAXIFS('4-Basis ruimtestaat'!M:M,'4-Basis ruimtestaat'!B:B,'2-Kosten per locatie'!A18)</f>
        <v>200</v>
      </c>
      <c r="E18" s="398" t="e">
        <f>SUMIF('4-Basis ruimtestaat'!B:B,'2-Kosten per locatie'!A18,'4-Basis ruimtestaat'!N:N)</f>
        <v>#DIV/0!</v>
      </c>
      <c r="F18" s="398" t="e">
        <f t="shared" si="0"/>
        <v>#DIV/0!</v>
      </c>
      <c r="G18" s="398" t="e">
        <f t="shared" si="1"/>
        <v>#DIV/0!</v>
      </c>
      <c r="H18" s="41"/>
      <c r="I18" s="53" t="e">
        <f>(E18+F18)*'6-Opbouw uurtarief productie'!$E$46</f>
        <v>#DIV/0!</v>
      </c>
      <c r="J18" s="54" t="e">
        <f>G18*'7-Opbouw uurtarief toezicht'!$E$46</f>
        <v>#DIV/0!</v>
      </c>
      <c r="K18" s="202">
        <f>SUMIF('10-Vloeronderhoud'!A:A,'2-Kosten per locatie'!A18,'10-Vloeronderhoud'!I:I)</f>
        <v>0</v>
      </c>
      <c r="L18" s="274">
        <f>SUMIF('8-Additionele kosten'!A:A,'2-Kosten per locatie'!A18,'8-Additionele kosten'!G:G)</f>
        <v>0</v>
      </c>
      <c r="M18" s="488" t="e">
        <f t="shared" si="2"/>
        <v>#DIV/0!</v>
      </c>
      <c r="N18" s="274" t="e">
        <f t="shared" si="3"/>
        <v>#DIV/0!</v>
      </c>
      <c r="O18" s="423" t="s">
        <v>720</v>
      </c>
    </row>
    <row r="19" spans="1:15" ht="15" customHeight="1">
      <c r="A19" s="418" t="s">
        <v>712</v>
      </c>
      <c r="B19" s="396">
        <f>SUMIF('4-Basis ruimtestaat'!B:B,'2-Kosten per locatie'!A19,'4-Basis ruimtestaat'!K:K)-SUMIFS('4-Basis ruimtestaat'!K:K,'4-Basis ruimtestaat'!B:B,'2-Kosten per locatie'!A19,'4-Basis ruimtestaat'!M:M,"nio")</f>
        <v>1310.9</v>
      </c>
      <c r="C19" s="198"/>
      <c r="D19" s="470">
        <f>_xlfn.MAXIFS('4-Basis ruimtestaat'!M:M,'4-Basis ruimtestaat'!B:B,'2-Kosten per locatie'!A19)</f>
        <v>0</v>
      </c>
      <c r="E19" s="471">
        <f>SUMIF('4-Basis ruimtestaat'!B:B,'2-Kosten per locatie'!A19,'4-Basis ruimtestaat'!N:N)</f>
        <v>0</v>
      </c>
      <c r="F19" s="471">
        <f t="shared" si="0"/>
        <v>0</v>
      </c>
      <c r="G19" s="471">
        <f t="shared" si="1"/>
        <v>0</v>
      </c>
      <c r="H19" s="472"/>
      <c r="I19" s="473" t="e">
        <f>(E19+F19)*'6-Opbouw uurtarief productie'!$E$46</f>
        <v>#DIV/0!</v>
      </c>
      <c r="J19" s="474" t="e">
        <f>G19*'7-Opbouw uurtarief toezicht'!$E$46</f>
        <v>#DIV/0!</v>
      </c>
      <c r="K19" s="202">
        <f>SUMIF('10-Vloeronderhoud'!A:A,'2-Kosten per locatie'!A19,'10-Vloeronderhoud'!I:I)</f>
        <v>0</v>
      </c>
      <c r="L19" s="475">
        <f>SUMIF('8-Additionele kosten'!A:A,'2-Kosten per locatie'!A19,'8-Additionele kosten'!G:G)</f>
        <v>0</v>
      </c>
      <c r="M19" s="489" t="e">
        <f t="shared" si="2"/>
        <v>#DIV/0!</v>
      </c>
      <c r="N19" s="274" t="e">
        <f t="shared" si="3"/>
        <v>#DIV/0!</v>
      </c>
      <c r="O19" s="423" t="s">
        <v>720</v>
      </c>
    </row>
    <row r="20" spans="1:15" ht="15" customHeight="1">
      <c r="A20" s="418" t="s">
        <v>211</v>
      </c>
      <c r="B20" s="396">
        <f>SUMIF('4-Basis ruimtestaat'!B:B,'2-Kosten per locatie'!A20,'4-Basis ruimtestaat'!K:K)-SUMIFS('4-Basis ruimtestaat'!K:K,'4-Basis ruimtestaat'!B:B,'2-Kosten per locatie'!A20,'4-Basis ruimtestaat'!M:M,"nio")</f>
        <v>1127</v>
      </c>
      <c r="C20" s="198"/>
      <c r="D20" s="199">
        <f>_xlfn.MAXIFS('4-Basis ruimtestaat'!M:M,'4-Basis ruimtestaat'!B:B,'2-Kosten per locatie'!A20)</f>
        <v>0</v>
      </c>
      <c r="E20" s="398">
        <f>SUMIF('4-Basis ruimtestaat'!B:B,'2-Kosten per locatie'!A20,'4-Basis ruimtestaat'!N:N)</f>
        <v>0</v>
      </c>
      <c r="F20" s="398">
        <f t="shared" si="0"/>
        <v>0</v>
      </c>
      <c r="G20" s="398">
        <f t="shared" si="1"/>
        <v>0</v>
      </c>
      <c r="H20" s="41"/>
      <c r="I20" s="53" t="e">
        <f>(E20+F20)*'6-Opbouw uurtarief productie'!$E$46</f>
        <v>#DIV/0!</v>
      </c>
      <c r="J20" s="54" t="e">
        <f>G20*'7-Opbouw uurtarief toezicht'!$E$46</f>
        <v>#DIV/0!</v>
      </c>
      <c r="K20" s="202">
        <f>SUMIF('10-Vloeronderhoud'!A:A,'2-Kosten per locatie'!A20,'10-Vloeronderhoud'!I:I)</f>
        <v>0</v>
      </c>
      <c r="L20" s="274">
        <f>SUMIF('8-Additionele kosten'!A:A,'2-Kosten per locatie'!A20,'8-Additionele kosten'!G:G)</f>
        <v>0</v>
      </c>
      <c r="M20" s="488" t="e">
        <f t="shared" si="2"/>
        <v>#DIV/0!</v>
      </c>
      <c r="N20" s="274" t="e">
        <f t="shared" si="3"/>
        <v>#DIV/0!</v>
      </c>
      <c r="O20" s="423" t="s">
        <v>720</v>
      </c>
    </row>
    <row r="21" spans="1:15" ht="15" customHeight="1">
      <c r="A21" s="418" t="s">
        <v>212</v>
      </c>
      <c r="B21" s="396">
        <f>SUMIF('4-Basis ruimtestaat'!B:B,'2-Kosten per locatie'!A21,'4-Basis ruimtestaat'!K:K)-SUMIFS('4-Basis ruimtestaat'!K:K,'4-Basis ruimtestaat'!B:B,'2-Kosten per locatie'!A21,'4-Basis ruimtestaat'!M:M,"nio")</f>
        <v>1128.7999999999997</v>
      </c>
      <c r="C21" s="198"/>
      <c r="D21" s="199">
        <f>_xlfn.MAXIFS('4-Basis ruimtestaat'!M:M,'4-Basis ruimtestaat'!B:B,'2-Kosten per locatie'!A21)</f>
        <v>0</v>
      </c>
      <c r="E21" s="398">
        <f>SUMIF('4-Basis ruimtestaat'!B:B,'2-Kosten per locatie'!A21,'4-Basis ruimtestaat'!N:N)</f>
        <v>0</v>
      </c>
      <c r="F21" s="398">
        <f t="shared" si="0"/>
        <v>0</v>
      </c>
      <c r="G21" s="398">
        <f t="shared" si="1"/>
        <v>0</v>
      </c>
      <c r="H21" s="41"/>
      <c r="I21" s="53" t="e">
        <f>(E21+F21)*'6-Opbouw uurtarief productie'!$E$46</f>
        <v>#DIV/0!</v>
      </c>
      <c r="J21" s="54" t="e">
        <f>G21*'7-Opbouw uurtarief toezicht'!$E$46</f>
        <v>#DIV/0!</v>
      </c>
      <c r="K21" s="202">
        <f>SUMIF('10-Vloeronderhoud'!A:A,'2-Kosten per locatie'!A21,'10-Vloeronderhoud'!I:I)</f>
        <v>0</v>
      </c>
      <c r="L21" s="274">
        <f>SUMIF('8-Additionele kosten'!A:A,'2-Kosten per locatie'!A21,'8-Additionele kosten'!G:G)</f>
        <v>0</v>
      </c>
      <c r="M21" s="488" t="e">
        <f t="shared" si="2"/>
        <v>#DIV/0!</v>
      </c>
      <c r="N21" s="274" t="e">
        <f t="shared" si="3"/>
        <v>#DIV/0!</v>
      </c>
      <c r="O21" s="423" t="s">
        <v>720</v>
      </c>
    </row>
    <row r="22" spans="1:15" ht="15" customHeight="1">
      <c r="A22" s="418" t="s">
        <v>213</v>
      </c>
      <c r="B22" s="396">
        <f>SUMIF('4-Basis ruimtestaat'!B:B,'2-Kosten per locatie'!A22,'4-Basis ruimtestaat'!K:K)-SUMIFS('4-Basis ruimtestaat'!K:K,'4-Basis ruimtestaat'!B:B,'2-Kosten per locatie'!A22,'4-Basis ruimtestaat'!M:M,"nio")</f>
        <v>1028.3</v>
      </c>
      <c r="C22" s="198"/>
      <c r="D22" s="199">
        <f>_xlfn.MAXIFS('4-Basis ruimtestaat'!M:M,'4-Basis ruimtestaat'!B:B,'2-Kosten per locatie'!A22)</f>
        <v>200</v>
      </c>
      <c r="E22" s="398" t="e">
        <f>SUMIF('4-Basis ruimtestaat'!B:B,'2-Kosten per locatie'!A22,'4-Basis ruimtestaat'!N:N)</f>
        <v>#DIV/0!</v>
      </c>
      <c r="F22" s="398" t="e">
        <f t="shared" si="0"/>
        <v>#DIV/0!</v>
      </c>
      <c r="G22" s="398" t="e">
        <f t="shared" si="1"/>
        <v>#DIV/0!</v>
      </c>
      <c r="H22" s="41"/>
      <c r="I22" s="53" t="e">
        <f>(E22+F22)*'6-Opbouw uurtarief productie'!$E$46</f>
        <v>#DIV/0!</v>
      </c>
      <c r="J22" s="54" t="e">
        <f>G22*'7-Opbouw uurtarief toezicht'!$E$46</f>
        <v>#DIV/0!</v>
      </c>
      <c r="K22" s="202">
        <f>SUMIF('10-Vloeronderhoud'!A:A,'2-Kosten per locatie'!A22,'10-Vloeronderhoud'!I:I)</f>
        <v>0</v>
      </c>
      <c r="L22" s="274">
        <f>SUMIF('8-Additionele kosten'!A:A,'2-Kosten per locatie'!A22,'8-Additionele kosten'!G:G)</f>
        <v>0</v>
      </c>
      <c r="M22" s="488" t="e">
        <f t="shared" si="2"/>
        <v>#DIV/0!</v>
      </c>
      <c r="N22" s="274" t="e">
        <f t="shared" si="3"/>
        <v>#DIV/0!</v>
      </c>
      <c r="O22" s="423" t="s">
        <v>720</v>
      </c>
    </row>
    <row r="23" spans="1:15" ht="15" customHeight="1">
      <c r="A23" s="418" t="s">
        <v>214</v>
      </c>
      <c r="B23" s="396">
        <f>SUMIF('4-Basis ruimtestaat'!B:B,'2-Kosten per locatie'!A23,'4-Basis ruimtestaat'!K:K)-SUMIFS('4-Basis ruimtestaat'!K:K,'4-Basis ruimtestaat'!B:B,'2-Kosten per locatie'!A23,'4-Basis ruimtestaat'!M:M,"nio")</f>
        <v>636.20000000000016</v>
      </c>
      <c r="C23" s="198"/>
      <c r="D23" s="199">
        <f>_xlfn.MAXIFS('4-Basis ruimtestaat'!M:M,'4-Basis ruimtestaat'!B:B,'2-Kosten per locatie'!A23)</f>
        <v>0</v>
      </c>
      <c r="E23" s="398">
        <f>SUMIF('4-Basis ruimtestaat'!B:B,'2-Kosten per locatie'!A23,'4-Basis ruimtestaat'!N:N)</f>
        <v>0</v>
      </c>
      <c r="F23" s="398">
        <f t="shared" si="0"/>
        <v>0</v>
      </c>
      <c r="G23" s="398">
        <f t="shared" si="1"/>
        <v>0</v>
      </c>
      <c r="H23" s="41"/>
      <c r="I23" s="53" t="e">
        <f>(E23+F23)*'6-Opbouw uurtarief productie'!$E$46</f>
        <v>#DIV/0!</v>
      </c>
      <c r="J23" s="54" t="e">
        <f>G23*'7-Opbouw uurtarief toezicht'!$E$46</f>
        <v>#DIV/0!</v>
      </c>
      <c r="K23" s="202">
        <f>SUMIF('10-Vloeronderhoud'!A:A,'2-Kosten per locatie'!A23,'10-Vloeronderhoud'!I:I)</f>
        <v>0</v>
      </c>
      <c r="L23" s="274">
        <f>SUMIF('8-Additionele kosten'!A:A,'2-Kosten per locatie'!A23,'8-Additionele kosten'!G:G)</f>
        <v>0</v>
      </c>
      <c r="M23" s="488" t="e">
        <f t="shared" si="2"/>
        <v>#DIV/0!</v>
      </c>
      <c r="N23" s="274" t="e">
        <f t="shared" si="3"/>
        <v>#DIV/0!</v>
      </c>
      <c r="O23" s="423" t="s">
        <v>720</v>
      </c>
    </row>
    <row r="24" spans="1:15" ht="15" customHeight="1">
      <c r="A24" s="418" t="s">
        <v>215</v>
      </c>
      <c r="B24" s="396">
        <f>SUMIF('4-Basis ruimtestaat'!B:B,'2-Kosten per locatie'!A24,'4-Basis ruimtestaat'!K:K)-SUMIFS('4-Basis ruimtestaat'!K:K,'4-Basis ruimtestaat'!B:B,'2-Kosten per locatie'!A24,'4-Basis ruimtestaat'!M:M,"nio")</f>
        <v>459.69999999999993</v>
      </c>
      <c r="C24" s="198"/>
      <c r="D24" s="199">
        <f>_xlfn.MAXIFS('4-Basis ruimtestaat'!M:M,'4-Basis ruimtestaat'!B:B,'2-Kosten per locatie'!A24)</f>
        <v>0</v>
      </c>
      <c r="E24" s="398">
        <f>SUMIF('4-Basis ruimtestaat'!B:B,'2-Kosten per locatie'!A24,'4-Basis ruimtestaat'!N:N)</f>
        <v>0</v>
      </c>
      <c r="F24" s="398">
        <f t="shared" si="0"/>
        <v>0</v>
      </c>
      <c r="G24" s="398">
        <f t="shared" si="1"/>
        <v>0</v>
      </c>
      <c r="H24" s="41"/>
      <c r="I24" s="53" t="e">
        <f>(E24+F24)*'6-Opbouw uurtarief productie'!$E$46</f>
        <v>#DIV/0!</v>
      </c>
      <c r="J24" s="54" t="e">
        <f>G24*'7-Opbouw uurtarief toezicht'!$E$46</f>
        <v>#DIV/0!</v>
      </c>
      <c r="K24" s="202">
        <f>SUMIF('10-Vloeronderhoud'!A:A,'2-Kosten per locatie'!A24,'10-Vloeronderhoud'!I:I)</f>
        <v>0</v>
      </c>
      <c r="L24" s="274">
        <f>SUMIF('8-Additionele kosten'!A:A,'2-Kosten per locatie'!A24,'8-Additionele kosten'!G:G)</f>
        <v>0</v>
      </c>
      <c r="M24" s="488" t="e">
        <f t="shared" si="2"/>
        <v>#DIV/0!</v>
      </c>
      <c r="N24" s="274" t="e">
        <f t="shared" si="3"/>
        <v>#DIV/0!</v>
      </c>
      <c r="O24" s="423" t="s">
        <v>720</v>
      </c>
    </row>
    <row r="25" spans="1:15" ht="15" customHeight="1">
      <c r="A25" s="418" t="s">
        <v>216</v>
      </c>
      <c r="B25" s="396">
        <f>SUMIF('4-Basis ruimtestaat'!B:B,'2-Kosten per locatie'!A25,'4-Basis ruimtestaat'!K:K)-SUMIFS('4-Basis ruimtestaat'!K:K,'4-Basis ruimtestaat'!B:B,'2-Kosten per locatie'!A25,'4-Basis ruimtestaat'!M:M,"nio")</f>
        <v>1432.3999999999999</v>
      </c>
      <c r="C25" s="198"/>
      <c r="D25" s="199">
        <f>_xlfn.MAXIFS('4-Basis ruimtestaat'!M:M,'4-Basis ruimtestaat'!B:B,'2-Kosten per locatie'!A25)</f>
        <v>0</v>
      </c>
      <c r="E25" s="398">
        <f>SUMIF('4-Basis ruimtestaat'!B:B,'2-Kosten per locatie'!A25,'4-Basis ruimtestaat'!N:N)</f>
        <v>0</v>
      </c>
      <c r="F25" s="398">
        <f t="shared" si="0"/>
        <v>0</v>
      </c>
      <c r="G25" s="398">
        <f t="shared" si="1"/>
        <v>0</v>
      </c>
      <c r="H25" s="41"/>
      <c r="I25" s="53" t="e">
        <f>(E25+F25)*'6-Opbouw uurtarief productie'!$E$46</f>
        <v>#DIV/0!</v>
      </c>
      <c r="J25" s="54" t="e">
        <f>G25*'7-Opbouw uurtarief toezicht'!$E$46</f>
        <v>#DIV/0!</v>
      </c>
      <c r="K25" s="202">
        <f>SUMIF('10-Vloeronderhoud'!A:A,'2-Kosten per locatie'!A25,'10-Vloeronderhoud'!I:I)</f>
        <v>0</v>
      </c>
      <c r="L25" s="274">
        <f>SUMIF('8-Additionele kosten'!A:A,'2-Kosten per locatie'!A25,'8-Additionele kosten'!G:G)</f>
        <v>0</v>
      </c>
      <c r="M25" s="488" t="e">
        <f t="shared" si="2"/>
        <v>#DIV/0!</v>
      </c>
      <c r="N25" s="274" t="e">
        <f t="shared" si="3"/>
        <v>#DIV/0!</v>
      </c>
      <c r="O25" s="423" t="s">
        <v>720</v>
      </c>
    </row>
    <row r="26" spans="1:15" ht="15" customHeight="1">
      <c r="A26" s="418" t="s">
        <v>218</v>
      </c>
      <c r="B26" s="469">
        <f>SUMIF('4-Basis ruimtestaat'!B:B,'2-Kosten per locatie'!A26,'4-Basis ruimtestaat'!K:K)-SUMIFS('4-Basis ruimtestaat'!K:K,'4-Basis ruimtestaat'!B:B,'2-Kosten per locatie'!A26,'4-Basis ruimtestaat'!M:M,"nio")</f>
        <v>1188</v>
      </c>
      <c r="C26" s="198"/>
      <c r="D26" s="470">
        <f>_xlfn.MAXIFS('4-Basis ruimtestaat'!M:M,'4-Basis ruimtestaat'!B:B,'2-Kosten per locatie'!A26)</f>
        <v>0</v>
      </c>
      <c r="E26" s="471">
        <f>SUMIF('4-Basis ruimtestaat'!B:B,'2-Kosten per locatie'!A26,'4-Basis ruimtestaat'!N:N)</f>
        <v>0</v>
      </c>
      <c r="F26" s="471">
        <f t="shared" si="0"/>
        <v>0</v>
      </c>
      <c r="G26" s="471">
        <f t="shared" si="1"/>
        <v>0</v>
      </c>
      <c r="H26" s="472"/>
      <c r="I26" s="473" t="e">
        <f>(E26+F26)*'6-Opbouw uurtarief productie'!$E$46</f>
        <v>#DIV/0!</v>
      </c>
      <c r="J26" s="474" t="e">
        <f>G26*'7-Opbouw uurtarief toezicht'!$E$46</f>
        <v>#DIV/0!</v>
      </c>
      <c r="K26" s="202">
        <f>SUMIF('10-Vloeronderhoud'!A:A,'2-Kosten per locatie'!A26,'10-Vloeronderhoud'!I:I)</f>
        <v>0</v>
      </c>
      <c r="L26" s="475">
        <f>SUMIF('8-Additionele kosten'!A:A,'2-Kosten per locatie'!A26,'8-Additionele kosten'!G:G)</f>
        <v>0</v>
      </c>
      <c r="M26" s="489" t="e">
        <f t="shared" si="2"/>
        <v>#DIV/0!</v>
      </c>
      <c r="N26" s="475" t="e">
        <f t="shared" si="3"/>
        <v>#DIV/0!</v>
      </c>
      <c r="O26" s="423" t="s">
        <v>720</v>
      </c>
    </row>
    <row r="27" spans="1:15" ht="15" customHeight="1">
      <c r="A27" s="418" t="s">
        <v>219</v>
      </c>
      <c r="B27" s="396">
        <f>SUMIF('4-Basis ruimtestaat'!B:B,'2-Kosten per locatie'!A27,'4-Basis ruimtestaat'!K:K)-SUMIFS('4-Basis ruimtestaat'!K:K,'4-Basis ruimtestaat'!B:B,'2-Kosten per locatie'!A27,'4-Basis ruimtestaat'!M:M,"nio")</f>
        <v>1850.7</v>
      </c>
      <c r="C27" s="198"/>
      <c r="D27" s="199">
        <f>_xlfn.MAXIFS('4-Basis ruimtestaat'!M:M,'4-Basis ruimtestaat'!B:B,'2-Kosten per locatie'!A27)</f>
        <v>200</v>
      </c>
      <c r="E27" s="398" t="e">
        <f>SUMIF('4-Basis ruimtestaat'!B:B,'2-Kosten per locatie'!A27,'4-Basis ruimtestaat'!N:N)</f>
        <v>#DIV/0!</v>
      </c>
      <c r="F27" s="398" t="e">
        <f t="shared" si="0"/>
        <v>#DIV/0!</v>
      </c>
      <c r="G27" s="398" t="e">
        <f t="shared" si="1"/>
        <v>#DIV/0!</v>
      </c>
      <c r="H27" s="41"/>
      <c r="I27" s="53" t="e">
        <f>(E27+F27)*'6-Opbouw uurtarief productie'!$E$46</f>
        <v>#DIV/0!</v>
      </c>
      <c r="J27" s="54" t="e">
        <f>G27*'7-Opbouw uurtarief toezicht'!$E$46</f>
        <v>#DIV/0!</v>
      </c>
      <c r="K27" s="202">
        <f>SUMIF('10-Vloeronderhoud'!A:A,'2-Kosten per locatie'!A27,'10-Vloeronderhoud'!I:I)</f>
        <v>0</v>
      </c>
      <c r="L27" s="274">
        <f>SUMIF('8-Additionele kosten'!A:A,'2-Kosten per locatie'!A27,'8-Additionele kosten'!G:G)</f>
        <v>0</v>
      </c>
      <c r="M27" s="488" t="e">
        <f t="shared" si="2"/>
        <v>#DIV/0!</v>
      </c>
      <c r="N27" s="274" t="e">
        <f t="shared" si="3"/>
        <v>#DIV/0!</v>
      </c>
      <c r="O27" s="423" t="s">
        <v>720</v>
      </c>
    </row>
    <row r="28" spans="1:15" ht="15" customHeight="1">
      <c r="A28" s="418" t="s">
        <v>207</v>
      </c>
      <c r="B28" s="396">
        <f>SUMIF('4-Basis ruimtestaat'!B:B,'2-Kosten per locatie'!A28,'4-Basis ruimtestaat'!K:K)-SUMIFS('4-Basis ruimtestaat'!K:K,'4-Basis ruimtestaat'!B:B,'2-Kosten per locatie'!A28,'4-Basis ruimtestaat'!M:M,"nio")</f>
        <v>1765.7000000000007</v>
      </c>
      <c r="C28" s="198"/>
      <c r="D28" s="199">
        <f>_xlfn.MAXIFS('4-Basis ruimtestaat'!M:M,'4-Basis ruimtestaat'!B:B,'2-Kosten per locatie'!A28)</f>
        <v>200</v>
      </c>
      <c r="E28" s="398" t="e">
        <f>SUMIF('4-Basis ruimtestaat'!B:B,'2-Kosten per locatie'!A28,'4-Basis ruimtestaat'!N:N)</f>
        <v>#DIV/0!</v>
      </c>
      <c r="F28" s="398" t="e">
        <f t="shared" si="0"/>
        <v>#DIV/0!</v>
      </c>
      <c r="G28" s="398" t="e">
        <f t="shared" si="1"/>
        <v>#DIV/0!</v>
      </c>
      <c r="H28" s="41"/>
      <c r="I28" s="53" t="e">
        <f>(E28+F28)*'6-Opbouw uurtarief productie'!$E$46</f>
        <v>#DIV/0!</v>
      </c>
      <c r="J28" s="54" t="e">
        <f>G28*'7-Opbouw uurtarief toezicht'!$E$46</f>
        <v>#DIV/0!</v>
      </c>
      <c r="K28" s="202">
        <f>SUMIF('10-Vloeronderhoud'!A:A,'2-Kosten per locatie'!A28,'10-Vloeronderhoud'!I:I)</f>
        <v>0</v>
      </c>
      <c r="L28" s="274">
        <f>SUMIF('8-Additionele kosten'!A:A,'2-Kosten per locatie'!A28,'8-Additionele kosten'!G:G)</f>
        <v>0</v>
      </c>
      <c r="M28" s="488" t="e">
        <f t="shared" si="2"/>
        <v>#DIV/0!</v>
      </c>
      <c r="N28" s="274" t="e">
        <f t="shared" si="3"/>
        <v>#DIV/0!</v>
      </c>
      <c r="O28" s="423" t="s">
        <v>720</v>
      </c>
    </row>
    <row r="29" spans="1:15" ht="15" customHeight="1">
      <c r="A29" s="418" t="s">
        <v>208</v>
      </c>
      <c r="B29" s="396">
        <f>SUMIF('4-Basis ruimtestaat'!B:B,'2-Kosten per locatie'!A29,'4-Basis ruimtestaat'!K:K)-SUMIFS('4-Basis ruimtestaat'!K:K,'4-Basis ruimtestaat'!B:B,'2-Kosten per locatie'!A29,'4-Basis ruimtestaat'!M:M,"nio")</f>
        <v>1623.6</v>
      </c>
      <c r="C29" s="198"/>
      <c r="D29" s="199">
        <f>_xlfn.MAXIFS('4-Basis ruimtestaat'!M:M,'4-Basis ruimtestaat'!B:B,'2-Kosten per locatie'!A29)</f>
        <v>200</v>
      </c>
      <c r="E29" s="398" t="e">
        <f>SUMIF('4-Basis ruimtestaat'!B:B,'2-Kosten per locatie'!A29,'4-Basis ruimtestaat'!N:N)</f>
        <v>#DIV/0!</v>
      </c>
      <c r="F29" s="398" t="e">
        <f t="shared" si="0"/>
        <v>#DIV/0!</v>
      </c>
      <c r="G29" s="398" t="e">
        <f t="shared" si="1"/>
        <v>#DIV/0!</v>
      </c>
      <c r="H29" s="41"/>
      <c r="I29" s="53" t="e">
        <f>(E29+F29)*'6-Opbouw uurtarief productie'!$E$46</f>
        <v>#DIV/0!</v>
      </c>
      <c r="J29" s="54" t="e">
        <f>G29*'7-Opbouw uurtarief toezicht'!$E$46</f>
        <v>#DIV/0!</v>
      </c>
      <c r="K29" s="202">
        <f>SUMIF('10-Vloeronderhoud'!A:A,'2-Kosten per locatie'!A29,'10-Vloeronderhoud'!I:I)</f>
        <v>0</v>
      </c>
      <c r="L29" s="274">
        <f>SUMIF('8-Additionele kosten'!A:A,'2-Kosten per locatie'!A29,'8-Additionele kosten'!G:G)</f>
        <v>0</v>
      </c>
      <c r="M29" s="488" t="e">
        <f t="shared" si="2"/>
        <v>#DIV/0!</v>
      </c>
      <c r="N29" s="274" t="e">
        <f t="shared" si="3"/>
        <v>#DIV/0!</v>
      </c>
      <c r="O29" s="423" t="s">
        <v>720</v>
      </c>
    </row>
    <row r="30" spans="1:15" ht="15" customHeight="1">
      <c r="A30" s="418" t="s">
        <v>206</v>
      </c>
      <c r="B30" s="396">
        <f>SUMIF('4-Basis ruimtestaat'!B:B,'2-Kosten per locatie'!A30,'4-Basis ruimtestaat'!K:K)-SUMIFS('4-Basis ruimtestaat'!K:K,'4-Basis ruimtestaat'!B:B,'2-Kosten per locatie'!A30,'4-Basis ruimtestaat'!M:M,"nio")</f>
        <v>2186.0699999999993</v>
      </c>
      <c r="C30" s="198"/>
      <c r="D30" s="199">
        <f>_xlfn.MAXIFS('4-Basis ruimtestaat'!M:M,'4-Basis ruimtestaat'!B:B,'2-Kosten per locatie'!A30)</f>
        <v>0</v>
      </c>
      <c r="E30" s="398">
        <f>SUMIF('4-Basis ruimtestaat'!B:B,'2-Kosten per locatie'!A30,'4-Basis ruimtestaat'!N:N)</f>
        <v>0</v>
      </c>
      <c r="F30" s="398">
        <f t="shared" si="0"/>
        <v>0</v>
      </c>
      <c r="G30" s="398">
        <f t="shared" si="1"/>
        <v>0</v>
      </c>
      <c r="H30" s="41"/>
      <c r="I30" s="53" t="e">
        <f>(E30+F30)*'6-Opbouw uurtarief productie'!$E$46</f>
        <v>#DIV/0!</v>
      </c>
      <c r="J30" s="54" t="e">
        <f>G30*'7-Opbouw uurtarief toezicht'!$E$46</f>
        <v>#DIV/0!</v>
      </c>
      <c r="K30" s="202">
        <f>SUMIF('10-Vloeronderhoud'!A:A,'2-Kosten per locatie'!A30,'10-Vloeronderhoud'!I:I)</f>
        <v>0</v>
      </c>
      <c r="L30" s="274">
        <f>SUMIF('8-Additionele kosten'!A:A,'2-Kosten per locatie'!A30,'8-Additionele kosten'!G:G)</f>
        <v>0</v>
      </c>
      <c r="M30" s="488" t="e">
        <f t="shared" si="2"/>
        <v>#DIV/0!</v>
      </c>
      <c r="N30" s="274" t="e">
        <f t="shared" si="3"/>
        <v>#DIV/0!</v>
      </c>
      <c r="O30" s="423" t="s">
        <v>720</v>
      </c>
    </row>
    <row r="31" spans="1:15" ht="15" customHeight="1">
      <c r="A31" s="418" t="s">
        <v>209</v>
      </c>
      <c r="B31" s="396">
        <f>SUMIF('4-Basis ruimtestaat'!B:B,'2-Kosten per locatie'!A31,'4-Basis ruimtestaat'!K:K)-SUMIFS('4-Basis ruimtestaat'!K:K,'4-Basis ruimtestaat'!B:B,'2-Kosten per locatie'!A31,'4-Basis ruimtestaat'!M:M,"nio")</f>
        <v>1260.8999999999994</v>
      </c>
      <c r="C31" s="198"/>
      <c r="D31" s="199">
        <f>_xlfn.MAXIFS('4-Basis ruimtestaat'!M:M,'4-Basis ruimtestaat'!B:B,'2-Kosten per locatie'!A31)</f>
        <v>200</v>
      </c>
      <c r="E31" s="398" t="e">
        <f>SUMIF('4-Basis ruimtestaat'!B:B,'2-Kosten per locatie'!A31,'4-Basis ruimtestaat'!N:N)</f>
        <v>#DIV/0!</v>
      </c>
      <c r="F31" s="398" t="e">
        <f t="shared" si="0"/>
        <v>#DIV/0!</v>
      </c>
      <c r="G31" s="398" t="e">
        <f t="shared" si="1"/>
        <v>#DIV/0!</v>
      </c>
      <c r="H31" s="41"/>
      <c r="I31" s="53" t="e">
        <f>(E31+F31)*'6-Opbouw uurtarief productie'!$E$46</f>
        <v>#DIV/0!</v>
      </c>
      <c r="J31" s="54" t="e">
        <f>G31*'7-Opbouw uurtarief toezicht'!$E$46</f>
        <v>#DIV/0!</v>
      </c>
      <c r="K31" s="202">
        <f>SUMIF('10-Vloeronderhoud'!A:A,'2-Kosten per locatie'!A31,'10-Vloeronderhoud'!I:I)</f>
        <v>0</v>
      </c>
      <c r="L31" s="274">
        <f>SUMIF('8-Additionele kosten'!A:A,'2-Kosten per locatie'!A31,'8-Additionele kosten'!G:G)</f>
        <v>0</v>
      </c>
      <c r="M31" s="488" t="e">
        <f t="shared" si="2"/>
        <v>#DIV/0!</v>
      </c>
      <c r="N31" s="274" t="e">
        <f t="shared" si="3"/>
        <v>#DIV/0!</v>
      </c>
      <c r="O31" s="423" t="s">
        <v>720</v>
      </c>
    </row>
    <row r="32" spans="1:15" ht="15" customHeight="1">
      <c r="A32" s="418" t="s">
        <v>217</v>
      </c>
      <c r="B32" s="396">
        <f>SUMIF('4-Basis ruimtestaat'!B:B,'2-Kosten per locatie'!A32,'4-Basis ruimtestaat'!K:K)-SUMIFS('4-Basis ruimtestaat'!K:K,'4-Basis ruimtestaat'!B:B,'2-Kosten per locatie'!A32,'4-Basis ruimtestaat'!M:M,"nio")</f>
        <v>574.72000000000014</v>
      </c>
      <c r="C32" s="198"/>
      <c r="D32" s="199">
        <f>_xlfn.MAXIFS('4-Basis ruimtestaat'!M:M,'4-Basis ruimtestaat'!B:B,'2-Kosten per locatie'!A32)</f>
        <v>0</v>
      </c>
      <c r="E32" s="398">
        <f>SUMIF('4-Basis ruimtestaat'!B:B,'2-Kosten per locatie'!A32,'4-Basis ruimtestaat'!N:N)</f>
        <v>0</v>
      </c>
      <c r="F32" s="398">
        <f t="shared" si="0"/>
        <v>0</v>
      </c>
      <c r="G32" s="398">
        <f t="shared" si="1"/>
        <v>0</v>
      </c>
      <c r="H32" s="41"/>
      <c r="I32" s="53" t="e">
        <f>(E32+F32)*'6-Opbouw uurtarief productie'!$E$46</f>
        <v>#DIV/0!</v>
      </c>
      <c r="J32" s="54" t="e">
        <f>G32*'7-Opbouw uurtarief toezicht'!$E$46</f>
        <v>#DIV/0!</v>
      </c>
      <c r="K32" s="202">
        <f>SUMIF('10-Vloeronderhoud'!A:A,'2-Kosten per locatie'!A32,'10-Vloeronderhoud'!I:I)</f>
        <v>0</v>
      </c>
      <c r="L32" s="274">
        <f>SUMIF('8-Additionele kosten'!A:A,'2-Kosten per locatie'!A32,'8-Additionele kosten'!G:G)</f>
        <v>0</v>
      </c>
      <c r="M32" s="488" t="e">
        <f t="shared" si="2"/>
        <v>#DIV/0!</v>
      </c>
      <c r="N32" s="274" t="e">
        <f t="shared" si="3"/>
        <v>#DIV/0!</v>
      </c>
      <c r="O32" s="423" t="s">
        <v>720</v>
      </c>
    </row>
    <row r="33" spans="1:16" ht="15" customHeight="1">
      <c r="A33" s="272" t="s">
        <v>21</v>
      </c>
      <c r="B33" s="396">
        <f>SUMIF('4-Basis ruimtestaat'!B:B,'2-Kosten per locatie'!A33,'4-Basis ruimtestaat'!K:K)</f>
        <v>0</v>
      </c>
      <c r="C33" s="198"/>
      <c r="D33" s="199">
        <f>_xlfn.MAXIFS('4-Basis ruimtestaat'!M:M,'4-Basis ruimtestaat'!B:B,'2-Kosten per locatie'!A33)</f>
        <v>0</v>
      </c>
      <c r="E33" s="398">
        <f>SUMIF('4-Basis ruimtestaat'!B:B,'2-Kosten per locatie'!A33,'4-Basis ruimtestaat'!N:N)</f>
        <v>0</v>
      </c>
      <c r="F33" s="398">
        <f t="shared" si="0"/>
        <v>0</v>
      </c>
      <c r="G33" s="398">
        <f t="shared" si="1"/>
        <v>0</v>
      </c>
      <c r="H33" s="41"/>
      <c r="I33" s="53" t="e">
        <f>(E33+F33)*'6-Opbouw uurtarief productie'!$E$46</f>
        <v>#DIV/0!</v>
      </c>
      <c r="J33" s="54" t="e">
        <f>G33*'7-Opbouw uurtarief toezicht'!$E$46</f>
        <v>#DIV/0!</v>
      </c>
      <c r="K33" s="202">
        <f>SUMIF('10-Vloeronderhoud'!A:A,'2-Kosten per locatie'!A33,'10-Vloeronderhoud'!I:I)</f>
        <v>0</v>
      </c>
      <c r="L33" s="274">
        <f>SUMIF('8-Additionele kosten'!A:A,'2-Kosten per locatie'!A33,'8-Additionele kosten'!G:G)</f>
        <v>0</v>
      </c>
      <c r="M33" s="488" t="e">
        <f t="shared" si="2"/>
        <v>#DIV/0!</v>
      </c>
      <c r="N33" s="274" t="e">
        <f t="shared" si="3"/>
        <v>#DIV/0!</v>
      </c>
      <c r="O33" s="423"/>
    </row>
    <row r="34" spans="1:16" s="55" customFormat="1" ht="15" customHeight="1">
      <c r="A34" s="273" t="s">
        <v>22</v>
      </c>
      <c r="B34" s="397">
        <f>SUM(B15:B33)</f>
        <v>22668.329999999998</v>
      </c>
      <c r="C34" s="200"/>
      <c r="D34" s="201"/>
      <c r="E34" s="399" t="e">
        <f>SUM(E15:E33)</f>
        <v>#DIV/0!</v>
      </c>
      <c r="F34" s="399" t="e">
        <f>SUM(F15:F33)</f>
        <v>#DIV/0!</v>
      </c>
      <c r="G34" s="399" t="e">
        <f>SUM(G15:G33)</f>
        <v>#DIV/0!</v>
      </c>
      <c r="H34" s="41"/>
      <c r="I34" s="430" t="e">
        <f t="shared" ref="I34:N34" si="4">SUM(I15:I33)</f>
        <v>#DIV/0!</v>
      </c>
      <c r="J34" s="430" t="e">
        <f t="shared" si="4"/>
        <v>#DIV/0!</v>
      </c>
      <c r="K34" s="430">
        <f t="shared" si="4"/>
        <v>0</v>
      </c>
      <c r="L34" s="430">
        <f t="shared" si="4"/>
        <v>0</v>
      </c>
      <c r="M34" s="430" t="e">
        <f t="shared" si="4"/>
        <v>#DIV/0!</v>
      </c>
      <c r="N34" s="430" t="e">
        <f t="shared" si="4"/>
        <v>#DIV/0!</v>
      </c>
      <c r="O34" s="273"/>
    </row>
    <row r="35" spans="1:16" s="52" customFormat="1" ht="14.15" customHeight="1"/>
    <row r="36" spans="1:16" ht="14.15" customHeight="1">
      <c r="B36" s="402"/>
      <c r="C36" s="432"/>
      <c r="P36" s="40"/>
    </row>
    <row r="37" spans="1:16" ht="14.15" customHeight="1">
      <c r="B37" s="402"/>
      <c r="C37" s="432"/>
    </row>
  </sheetData>
  <autoFilter ref="A14:O34" xr:uid="{00000000-0001-0000-0200-000000000000}"/>
  <printOptions horizontalCentered="1" gridLinesSet="0"/>
  <pageMargins left="0.19685039370078741" right="0.19685039370078741" top="0.59055118110236227" bottom="0.78740157480314965" header="0.39370078740157483" footer="0.19685039370078741"/>
  <pageSetup paperSize="9" scale="51" fitToHeight="0" orientation="landscape" r:id="rId1"/>
  <headerFooter alignWithMargins="0">
    <oddFooter>&amp;L&amp;"Georgia,Standaard"&amp;F-&amp;A&amp;R&amp;"Georgia,Standaard"printversie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5"/>
  <sheetViews>
    <sheetView showGridLines="0" zoomScale="85" zoomScaleNormal="85" workbookViewId="0"/>
  </sheetViews>
  <sheetFormatPr defaultColWidth="9.1796875" defaultRowHeight="13"/>
  <cols>
    <col min="1" max="1" width="29.7265625" style="56" customWidth="1"/>
    <col min="2" max="2" width="9.1796875" style="56" customWidth="1"/>
    <col min="3" max="5" width="9.1796875" style="56"/>
    <col min="6" max="6" width="12.08984375" style="56" customWidth="1"/>
    <col min="7" max="7" width="17.26953125" style="56" bestFit="1" customWidth="1"/>
    <col min="8" max="8" width="9.1796875" style="56"/>
    <col min="9" max="9" width="2.1796875" style="56" customWidth="1"/>
    <col min="10" max="10" width="9.1796875" style="57"/>
    <col min="11" max="11" width="3" style="56" customWidth="1"/>
    <col min="12" max="12" width="9.1796875" style="57"/>
    <col min="13" max="13" width="9.1796875" style="2"/>
    <col min="14" max="14" width="30.453125" style="2" customWidth="1"/>
    <col min="15" max="16384" width="9.1796875" style="2"/>
  </cols>
  <sheetData>
    <row r="1" spans="1:12">
      <c r="A1" s="405" t="s">
        <v>4</v>
      </c>
    </row>
    <row r="3" spans="1:12" ht="15.5">
      <c r="A3" s="37" t="str">
        <f>'2-Kosten per locatie'!A3</f>
        <v>Naam opdrachtgever</v>
      </c>
      <c r="B3" s="46" t="str">
        <f>'2-Kosten per locatie'!B3</f>
        <v>Zaan Primair</v>
      </c>
      <c r="C3" s="58"/>
    </row>
    <row r="4" spans="1:12" ht="15.5">
      <c r="A4" s="37" t="str">
        <f>'2-Kosten per locatie'!A4</f>
        <v>Calculatie onderdeel</v>
      </c>
      <c r="B4" s="46" t="str">
        <f ca="1">MID(CELL("bestandsnaam",$B$7),SEARCH("]",CELL("bestandsnaam",$B$7),1)+1,256)</f>
        <v>3-Productie normen</v>
      </c>
      <c r="C4" s="46"/>
    </row>
    <row r="5" spans="1:12" ht="15.5">
      <c r="A5" s="37" t="str">
        <f>'2-Kosten per locatie'!A5</f>
        <v>Gebouw/plaats</v>
      </c>
      <c r="B5" s="46" t="str">
        <f>'2-Kosten per locatie'!B5</f>
        <v>Divers</v>
      </c>
      <c r="C5" s="46"/>
    </row>
    <row r="6" spans="1:12" ht="15.5">
      <c r="A6" s="37" t="str">
        <f>'2-Kosten per locatie'!A6</f>
        <v>Referentie nummer</v>
      </c>
      <c r="B6" s="46" t="str">
        <f>'2-Kosten per locatie'!B6</f>
        <v>Perceel 1 (Noordelijk gebied)</v>
      </c>
      <c r="C6" s="46"/>
      <c r="E6" s="275" t="s">
        <v>28</v>
      </c>
      <c r="F6" s="276"/>
      <c r="G6" s="277" t="e">
        <f>SUM('4-Basis ruimtestaat'!S:S)/SUM('4-Basis ruimtestaat'!N:N)</f>
        <v>#DIV/0!</v>
      </c>
      <c r="H6" s="278" t="s">
        <v>29</v>
      </c>
    </row>
    <row r="7" spans="1:12">
      <c r="A7" s="59"/>
      <c r="B7" s="60"/>
      <c r="C7" s="60"/>
      <c r="D7" s="61"/>
      <c r="E7" s="62"/>
      <c r="F7" s="62"/>
      <c r="G7" s="63"/>
      <c r="H7" s="64"/>
      <c r="I7" s="65"/>
      <c r="K7" s="65"/>
    </row>
    <row r="8" spans="1:12" ht="27.75" customHeight="1">
      <c r="A8" s="279" t="s">
        <v>30</v>
      </c>
      <c r="B8" s="280">
        <v>12</v>
      </c>
      <c r="C8" s="280">
        <v>200</v>
      </c>
      <c r="D8" s="61"/>
      <c r="E8" s="62"/>
      <c r="F8" s="62"/>
      <c r="G8" s="63"/>
      <c r="H8" s="64"/>
      <c r="I8" s="65"/>
      <c r="J8" s="172"/>
      <c r="K8" s="173"/>
    </row>
    <row r="9" spans="1:12" ht="60.65" customHeight="1">
      <c r="A9" s="281" t="s">
        <v>31</v>
      </c>
      <c r="B9" s="490" t="s">
        <v>32</v>
      </c>
      <c r="C9" s="491"/>
      <c r="D9" s="61"/>
      <c r="E9" s="62"/>
      <c r="F9" s="62"/>
      <c r="G9" s="63"/>
      <c r="H9" s="64"/>
      <c r="I9" s="65"/>
      <c r="J9" s="282" t="s">
        <v>33</v>
      </c>
      <c r="K9" s="173"/>
      <c r="L9" s="282" t="s">
        <v>34</v>
      </c>
    </row>
    <row r="10" spans="1:12">
      <c r="A10" s="271" t="s">
        <v>35</v>
      </c>
      <c r="B10" s="288"/>
      <c r="C10" s="284"/>
      <c r="D10" s="61"/>
      <c r="E10" s="62"/>
      <c r="F10" s="62"/>
      <c r="G10" s="63"/>
      <c r="H10" s="64"/>
      <c r="I10" s="214"/>
      <c r="J10" s="285">
        <f>SUMIF('4-Basis ruimtestaat'!H:H,'3-Productie normen'!A10,'4-Basis ruimtestaat'!K:K)</f>
        <v>1643.5400000000002</v>
      </c>
      <c r="K10" s="65"/>
      <c r="L10" s="286" t="s">
        <v>36</v>
      </c>
    </row>
    <row r="11" spans="1:12">
      <c r="A11" s="271" t="s">
        <v>520</v>
      </c>
      <c r="B11" s="288"/>
      <c r="C11" s="284"/>
      <c r="D11" s="61"/>
      <c r="E11" s="62"/>
      <c r="F11" s="62"/>
      <c r="G11" s="63"/>
      <c r="H11" s="64"/>
      <c r="I11" s="214"/>
      <c r="J11" s="285">
        <f>SUMIF('4-Basis ruimtestaat'!H:H,'3-Productie normen'!A11,'4-Basis ruimtestaat'!K:K)</f>
        <v>1173</v>
      </c>
      <c r="K11" s="65"/>
      <c r="L11" s="286" t="s">
        <v>40</v>
      </c>
    </row>
    <row r="12" spans="1:12">
      <c r="A12" s="422" t="s">
        <v>47</v>
      </c>
      <c r="B12" s="288"/>
      <c r="C12" s="284"/>
      <c r="D12" s="61"/>
      <c r="E12" s="62"/>
      <c r="F12" s="62"/>
      <c r="G12" s="63"/>
      <c r="H12" s="64"/>
      <c r="I12" s="214"/>
      <c r="J12" s="285">
        <f>SUMIF('4-Basis ruimtestaat'!H:H,'3-Productie normen'!A12,'4-Basis ruimtestaat'!K:K)</f>
        <v>384.59999999999997</v>
      </c>
      <c r="L12" s="286" t="s">
        <v>40</v>
      </c>
    </row>
    <row r="13" spans="1:12">
      <c r="A13" s="283" t="s">
        <v>39</v>
      </c>
      <c r="B13" s="288"/>
      <c r="C13" s="284"/>
      <c r="D13" s="61"/>
      <c r="E13" s="62"/>
      <c r="F13" s="62"/>
      <c r="G13" s="63"/>
      <c r="H13" s="64"/>
      <c r="I13" s="214"/>
      <c r="J13" s="285">
        <f>SUMIF('4-Basis ruimtestaat'!H:H,'3-Productie normen'!A13,'4-Basis ruimtestaat'!K:K)</f>
        <v>4395.3999999999987</v>
      </c>
      <c r="L13" s="286" t="s">
        <v>40</v>
      </c>
    </row>
    <row r="14" spans="1:12">
      <c r="A14" s="422" t="s">
        <v>610</v>
      </c>
      <c r="B14" s="288"/>
      <c r="C14" s="284"/>
      <c r="D14" s="61"/>
      <c r="E14" s="62"/>
      <c r="F14" s="62"/>
      <c r="G14" s="63"/>
      <c r="H14" s="64"/>
      <c r="I14" s="214"/>
      <c r="J14" s="285">
        <f>SUMIF('4-Basis ruimtestaat'!H:H,'3-Productie normen'!A14,'4-Basis ruimtestaat'!K:K)</f>
        <v>8.1999999999999993</v>
      </c>
      <c r="L14" s="286" t="s">
        <v>38</v>
      </c>
    </row>
    <row r="15" spans="1:12">
      <c r="A15" s="67" t="s">
        <v>609</v>
      </c>
      <c r="B15" s="288"/>
      <c r="C15" s="284"/>
      <c r="D15" s="61"/>
      <c r="E15" s="62"/>
      <c r="F15" s="62"/>
      <c r="G15" s="63"/>
      <c r="H15" s="64"/>
      <c r="I15" s="214"/>
      <c r="J15" s="285">
        <f>SUMIF('4-Basis ruimtestaat'!H:H,'3-Productie normen'!A15,'4-Basis ruimtestaat'!K:K)</f>
        <v>11574.300000000008</v>
      </c>
      <c r="L15" s="286" t="s">
        <v>711</v>
      </c>
    </row>
    <row r="16" spans="1:12">
      <c r="A16" s="67" t="s">
        <v>49</v>
      </c>
      <c r="B16" s="288"/>
      <c r="C16" s="284"/>
      <c r="D16" s="61"/>
      <c r="E16" s="62"/>
      <c r="F16" s="62"/>
      <c r="G16" s="63"/>
      <c r="H16" s="64"/>
      <c r="I16" s="214"/>
      <c r="J16" s="285">
        <f>SUMIF('4-Basis ruimtestaat'!H:H,'3-Productie normen'!A16,'4-Basis ruimtestaat'!K:K)</f>
        <v>13.600000000000001</v>
      </c>
      <c r="L16" s="286" t="s">
        <v>40</v>
      </c>
    </row>
    <row r="17" spans="1:12">
      <c r="A17" s="283" t="s">
        <v>46</v>
      </c>
      <c r="B17" s="288"/>
      <c r="C17" s="284"/>
      <c r="D17" s="61"/>
      <c r="E17" s="62"/>
      <c r="F17" s="62"/>
      <c r="G17" s="63"/>
      <c r="H17" s="64"/>
      <c r="I17" s="214"/>
      <c r="J17" s="285">
        <f>SUMIF('4-Basis ruimtestaat'!H:H,'3-Productie normen'!A17,'4-Basis ruimtestaat'!K:K)</f>
        <v>432.09999999999997</v>
      </c>
      <c r="L17" s="286" t="s">
        <v>40</v>
      </c>
    </row>
    <row r="18" spans="1:12">
      <c r="A18" s="283" t="s">
        <v>44</v>
      </c>
      <c r="B18" s="284"/>
      <c r="C18" s="288"/>
      <c r="D18" s="61"/>
      <c r="E18" s="62"/>
      <c r="F18" s="62"/>
      <c r="G18" s="63"/>
      <c r="H18" s="64"/>
      <c r="I18" s="214"/>
      <c r="J18" s="285">
        <f>SUMIF('4-Basis ruimtestaat'!H:H,'3-Productie normen'!A18,'4-Basis ruimtestaat'!K:K)</f>
        <v>368.59999999999997</v>
      </c>
      <c r="L18" s="286" t="s">
        <v>40</v>
      </c>
    </row>
    <row r="19" spans="1:12">
      <c r="A19" s="283" t="s">
        <v>41</v>
      </c>
      <c r="B19" s="288"/>
      <c r="C19" s="284"/>
      <c r="D19" s="61"/>
      <c r="E19" s="62"/>
      <c r="F19" s="62"/>
      <c r="G19" s="63"/>
      <c r="H19" s="64"/>
      <c r="I19" s="214"/>
      <c r="J19" s="285">
        <f>SUMIF('4-Basis ruimtestaat'!H:H,'3-Productie normen'!A19,'4-Basis ruimtestaat'!K:K)</f>
        <v>264.60000000000002</v>
      </c>
      <c r="L19" s="286" t="s">
        <v>40</v>
      </c>
    </row>
    <row r="20" spans="1:12">
      <c r="A20" s="287" t="s">
        <v>42</v>
      </c>
      <c r="B20" s="288"/>
      <c r="C20" s="284"/>
      <c r="D20" s="61"/>
      <c r="E20" s="62"/>
      <c r="F20" s="62"/>
      <c r="G20" s="63"/>
      <c r="H20" s="64"/>
      <c r="I20" s="214"/>
      <c r="J20" s="285">
        <f>SUMIF('4-Basis ruimtestaat'!H:H,'3-Productie normen'!A20,'4-Basis ruimtestaat'!K:K)</f>
        <v>0</v>
      </c>
      <c r="L20" s="286" t="s">
        <v>40</v>
      </c>
    </row>
    <row r="21" spans="1:12">
      <c r="A21" s="271" t="s">
        <v>37</v>
      </c>
      <c r="B21" s="288"/>
      <c r="C21" s="284"/>
      <c r="D21" s="61"/>
      <c r="E21" s="62"/>
      <c r="F21" s="62"/>
      <c r="G21" s="63"/>
      <c r="H21" s="64"/>
      <c r="I21" s="214"/>
      <c r="J21" s="285">
        <f>SUMIF('4-Basis ruimtestaat'!H:H,'3-Productie normen'!A21,'4-Basis ruimtestaat'!K:K)</f>
        <v>924.79999999999961</v>
      </c>
      <c r="L21" s="286" t="s">
        <v>38</v>
      </c>
    </row>
    <row r="22" spans="1:12">
      <c r="A22" s="283" t="s">
        <v>45</v>
      </c>
      <c r="B22" s="288"/>
      <c r="C22" s="284"/>
      <c r="D22" s="61"/>
      <c r="E22" s="62"/>
      <c r="F22" s="62"/>
      <c r="G22" s="63"/>
      <c r="H22" s="64"/>
      <c r="I22" s="214"/>
      <c r="J22" s="285">
        <f>SUMIF('4-Basis ruimtestaat'!H:H,'3-Productie normen'!A22,'4-Basis ruimtestaat'!K:K)</f>
        <v>1263.1199999999999</v>
      </c>
      <c r="L22" s="286" t="s">
        <v>711</v>
      </c>
    </row>
    <row r="23" spans="1:12">
      <c r="A23" s="67" t="s">
        <v>523</v>
      </c>
      <c r="B23" s="288"/>
      <c r="C23" s="284"/>
      <c r="D23" s="61"/>
      <c r="E23" s="62"/>
      <c r="F23" s="62"/>
      <c r="G23" s="63"/>
      <c r="H23" s="64"/>
      <c r="I23" s="214"/>
      <c r="J23" s="285">
        <f>SUMIF('4-Basis ruimtestaat'!H:H,'3-Productie normen'!A23,'4-Basis ruimtestaat'!K:K)</f>
        <v>0</v>
      </c>
      <c r="L23" s="286" t="s">
        <v>40</v>
      </c>
    </row>
    <row r="24" spans="1:12">
      <c r="A24" s="287" t="s">
        <v>48</v>
      </c>
      <c r="B24" s="288"/>
      <c r="C24" s="284"/>
      <c r="D24" s="61"/>
      <c r="E24" s="62"/>
      <c r="F24" s="62"/>
      <c r="G24" s="63"/>
      <c r="H24" s="64"/>
      <c r="I24" s="214"/>
      <c r="J24" s="285">
        <f>SUMIF('4-Basis ruimtestaat'!H:H,'3-Productie normen'!A24,'4-Basis ruimtestaat'!K:K)</f>
        <v>222.9</v>
      </c>
      <c r="L24" s="286" t="s">
        <v>40</v>
      </c>
    </row>
    <row r="25" spans="1:12">
      <c r="A25" s="283" t="s">
        <v>43</v>
      </c>
      <c r="B25" s="288"/>
      <c r="C25" s="284"/>
      <c r="D25" s="61"/>
      <c r="E25" s="62"/>
      <c r="F25" s="62"/>
      <c r="G25" s="63"/>
      <c r="H25" s="64"/>
      <c r="I25" s="214"/>
      <c r="J25" s="285">
        <f>SUMIF('4-Basis ruimtestaat'!H:H,'3-Productie normen'!A25,'4-Basis ruimtestaat'!K:K)</f>
        <v>476.77</v>
      </c>
      <c r="L25" s="286" t="s">
        <v>36</v>
      </c>
    </row>
    <row r="26" spans="1:12">
      <c r="A26" s="287"/>
      <c r="B26" s="288"/>
      <c r="C26" s="288"/>
      <c r="D26" s="61"/>
      <c r="E26" s="62"/>
      <c r="F26" s="62"/>
      <c r="G26" s="63"/>
      <c r="H26" s="64"/>
      <c r="I26" s="214"/>
      <c r="J26" s="285"/>
      <c r="L26" s="286"/>
    </row>
    <row r="27" spans="1:12">
      <c r="A27" s="287" t="s">
        <v>630</v>
      </c>
      <c r="B27" s="288"/>
      <c r="C27" s="288"/>
      <c r="D27" s="61"/>
      <c r="E27" s="62"/>
      <c r="F27" s="62"/>
      <c r="G27" s="63"/>
      <c r="H27" s="64"/>
      <c r="I27" s="214"/>
      <c r="J27" s="285">
        <f>SUMIF('4-Basis ruimtestaat'!H:H,'3-Productie normen'!A27,'4-Basis ruimtestaat'!K:K)</f>
        <v>773.8099999999996</v>
      </c>
      <c r="L27" s="286"/>
    </row>
    <row r="28" spans="1:12">
      <c r="A28" s="287"/>
      <c r="B28" s="289"/>
      <c r="C28" s="289"/>
      <c r="D28" s="61"/>
      <c r="E28" s="62"/>
      <c r="F28" s="62"/>
      <c r="G28" s="63"/>
      <c r="H28" s="64"/>
      <c r="I28" s="214"/>
      <c r="J28" s="285"/>
      <c r="K28" s="66"/>
      <c r="L28" s="286"/>
    </row>
    <row r="29" spans="1:12">
      <c r="A29" s="290" t="s">
        <v>22</v>
      </c>
      <c r="B29" s="291"/>
      <c r="C29" s="291"/>
      <c r="D29" s="61"/>
      <c r="E29" s="62"/>
      <c r="F29" s="62"/>
      <c r="G29" s="63"/>
      <c r="H29" s="64"/>
      <c r="I29" s="215"/>
      <c r="J29" s="292">
        <f>SUM(J10:J28)</f>
        <v>23919.340000000004</v>
      </c>
      <c r="K29" s="65"/>
      <c r="L29" s="293"/>
    </row>
    <row r="30" spans="1:12">
      <c r="D30" s="61"/>
      <c r="E30" s="62"/>
      <c r="F30" s="62"/>
      <c r="G30" s="63"/>
      <c r="H30" s="64"/>
      <c r="J30" s="56"/>
      <c r="K30" s="65"/>
      <c r="L30" s="56"/>
    </row>
    <row r="31" spans="1:12" ht="15.5">
      <c r="A31" s="294" t="s">
        <v>50</v>
      </c>
      <c r="B31" s="295">
        <v>2</v>
      </c>
      <c r="C31" s="295">
        <v>3</v>
      </c>
      <c r="D31" s="61"/>
      <c r="E31" s="62"/>
      <c r="F31" s="62"/>
      <c r="G31" s="63"/>
      <c r="H31" s="64"/>
      <c r="I31" s="65"/>
    </row>
    <row r="33" spans="1:3">
      <c r="A33" s="165" t="s">
        <v>51</v>
      </c>
      <c r="B33" s="165" t="s">
        <v>52</v>
      </c>
      <c r="C33" s="166" t="s">
        <v>53</v>
      </c>
    </row>
    <row r="34" spans="1:3">
      <c r="A34" s="67" t="s">
        <v>54</v>
      </c>
      <c r="B34" s="68">
        <v>12</v>
      </c>
      <c r="C34" s="174">
        <v>2</v>
      </c>
    </row>
    <row r="35" spans="1:3">
      <c r="A35" s="67" t="s">
        <v>709</v>
      </c>
      <c r="B35" s="69">
        <v>200</v>
      </c>
      <c r="C35" s="174">
        <v>3</v>
      </c>
    </row>
  </sheetData>
  <mergeCells count="1">
    <mergeCell ref="B9:C9"/>
  </mergeCells>
  <pageMargins left="0.7" right="0.7" top="0.75" bottom="0.75" header="0.3" footer="0.3"/>
  <pageSetup paperSize="9" scale="48" orientation="landscape" horizontalDpi="200" verticalDpi="200" r:id="rId1"/>
  <headerFooter>
    <oddFooter>&amp;L&amp;"Georgia,Standaard"&amp;F-&amp;A&amp;R&amp;"Georgia,Standaard"&amp;11printversie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T890"/>
  <sheetViews>
    <sheetView showGridLines="0" showZeros="0" zoomScale="85" zoomScaleNormal="85" zoomScalePageLayoutView="40" workbookViewId="0">
      <pane xSplit="1" ySplit="8" topLeftCell="B9" activePane="bottomRight" state="frozen"/>
      <selection pane="topRight"/>
      <selection pane="bottomLeft"/>
      <selection pane="bottomRight"/>
    </sheetView>
  </sheetViews>
  <sheetFormatPr defaultColWidth="8.7265625" defaultRowHeight="14.15" customHeight="1"/>
  <cols>
    <col min="1" max="1" width="6.54296875" style="56" bestFit="1" customWidth="1"/>
    <col min="2" max="2" width="27.54296875" style="419" customWidth="1"/>
    <col min="3" max="3" width="45.7265625" style="56" bestFit="1" customWidth="1"/>
    <col min="4" max="4" width="11" style="56" bestFit="1" customWidth="1"/>
    <col min="5" max="5" width="13.81640625" style="56" customWidth="1"/>
    <col min="6" max="6" width="20.26953125" style="217" bestFit="1" customWidth="1"/>
    <col min="7" max="7" width="27.453125" style="56" customWidth="1"/>
    <col min="8" max="8" width="26.36328125" style="56" customWidth="1"/>
    <col min="9" max="9" width="16.1796875" style="56" customWidth="1"/>
    <col min="10" max="10" width="36.81640625" style="419" customWidth="1"/>
    <col min="11" max="11" width="8" style="56" customWidth="1"/>
    <col min="12" max="12" width="12.453125" style="70" customWidth="1"/>
    <col min="13" max="13" width="13.26953125" style="81" customWidth="1"/>
    <col min="14" max="14" width="18.1796875" style="56" customWidth="1"/>
    <col min="15" max="15" width="12" style="56" customWidth="1"/>
    <col min="16" max="16" width="9.26953125" style="56" customWidth="1"/>
    <col min="17" max="17" width="35.1796875" style="56" customWidth="1"/>
    <col min="18" max="18" width="3" style="56" customWidth="1"/>
    <col min="19" max="19" width="11.1796875" style="56" customWidth="1"/>
    <col min="20" max="20" width="15.54296875" style="2" bestFit="1" customWidth="1"/>
    <col min="21" max="16384" width="8.7265625" style="2"/>
  </cols>
  <sheetData>
    <row r="1" spans="1:19" ht="13">
      <c r="B1" s="56"/>
      <c r="J1" s="56"/>
      <c r="L1" s="56"/>
      <c r="M1" s="56"/>
    </row>
    <row r="2" spans="1:19" ht="14.15" customHeight="1">
      <c r="A2" s="71">
        <v>2</v>
      </c>
      <c r="B2" s="175"/>
      <c r="C2" s="72"/>
      <c r="D2" s="72"/>
      <c r="E2" s="73"/>
      <c r="F2" s="433"/>
      <c r="G2" s="74"/>
      <c r="H2" s="74"/>
      <c r="J2" s="75"/>
      <c r="K2" s="75"/>
      <c r="L2" s="75"/>
      <c r="M2" s="78"/>
      <c r="N2" s="75"/>
      <c r="O2" s="79"/>
      <c r="P2" s="74"/>
      <c r="Q2" s="74"/>
    </row>
    <row r="3" spans="1:19" ht="14.15" customHeight="1">
      <c r="A3" s="71">
        <v>3</v>
      </c>
      <c r="B3" s="37" t="str">
        <f>'2-Kosten per locatie'!A3</f>
        <v>Naam opdrachtgever</v>
      </c>
      <c r="C3" s="46" t="str">
        <f>'2-Kosten per locatie'!B3</f>
        <v>Zaan Primair</v>
      </c>
      <c r="D3" s="46"/>
      <c r="F3" s="434"/>
      <c r="J3" s="75"/>
      <c r="K3" s="75"/>
      <c r="L3" s="75"/>
      <c r="M3" s="78"/>
      <c r="N3" s="75"/>
      <c r="O3" s="79"/>
      <c r="P3" s="74"/>
      <c r="Q3" s="74"/>
    </row>
    <row r="4" spans="1:19" ht="14.15" customHeight="1">
      <c r="A4" s="71">
        <v>4</v>
      </c>
      <c r="B4" s="37" t="str">
        <f>'2-Kosten per locatie'!A4</f>
        <v>Calculatie onderdeel</v>
      </c>
      <c r="C4" s="46" t="str">
        <f ca="1">MID(CELL("bestandsnaam",$E$9),SEARCH("]",CELL("bestandsnaam",$E$9),1)+1,256)</f>
        <v>4-Basis ruimtestaat</v>
      </c>
      <c r="D4" s="46"/>
      <c r="F4" s="435"/>
      <c r="J4" s="75"/>
      <c r="K4" s="75"/>
      <c r="L4" s="75"/>
      <c r="M4" s="78"/>
      <c r="N4" s="75"/>
      <c r="O4" s="79"/>
      <c r="P4" s="74"/>
      <c r="Q4" s="74"/>
    </row>
    <row r="5" spans="1:19" ht="14.15" customHeight="1">
      <c r="A5" s="71">
        <v>5</v>
      </c>
      <c r="B5" s="37" t="str">
        <f>'2-Kosten per locatie'!A5</f>
        <v>Gebouw/plaats</v>
      </c>
      <c r="C5" s="46" t="str">
        <f>'2-Kosten per locatie'!B5</f>
        <v>Divers</v>
      </c>
      <c r="D5" s="46"/>
      <c r="F5" s="219"/>
      <c r="J5" s="75"/>
      <c r="K5" s="75"/>
      <c r="L5" s="75"/>
      <c r="M5" s="78"/>
      <c r="N5" s="75"/>
      <c r="O5" s="79"/>
      <c r="P5" s="74"/>
      <c r="Q5" s="74"/>
    </row>
    <row r="6" spans="1:19" ht="14.15" customHeight="1">
      <c r="A6" s="71">
        <v>6</v>
      </c>
      <c r="B6" s="37" t="str">
        <f>'2-Kosten per locatie'!A6</f>
        <v>Referentie nummer</v>
      </c>
      <c r="C6" s="46" t="str">
        <f>'2-Kosten per locatie'!B6</f>
        <v>Perceel 1 (Noordelijk gebied)</v>
      </c>
      <c r="D6" s="46"/>
      <c r="F6" s="219"/>
      <c r="I6" s="424"/>
      <c r="J6" s="56"/>
      <c r="K6" s="76"/>
      <c r="L6" s="77"/>
      <c r="M6" s="78"/>
      <c r="N6" s="75"/>
      <c r="O6" s="79"/>
      <c r="P6" s="74"/>
      <c r="Q6" s="74"/>
    </row>
    <row r="7" spans="1:19" ht="12.75" customHeight="1">
      <c r="A7" s="71">
        <v>7</v>
      </c>
      <c r="B7" s="37" t="str">
        <f>'2-Kosten per locatie'!A7</f>
        <v>Naam dienstverlener</v>
      </c>
      <c r="C7" s="46">
        <f>'2-Kosten per locatie'!B7</f>
        <v>0</v>
      </c>
      <c r="D7" s="46"/>
      <c r="F7" s="219"/>
      <c r="I7" s="75"/>
      <c r="J7" s="75"/>
      <c r="K7" s="76"/>
      <c r="L7" s="77"/>
      <c r="M7" s="78"/>
      <c r="N7" s="75"/>
      <c r="O7" s="79"/>
      <c r="P7" s="74"/>
      <c r="Q7" s="74"/>
    </row>
    <row r="8" spans="1:19" ht="14.15" customHeight="1">
      <c r="A8" s="71">
        <v>8</v>
      </c>
      <c r="B8" s="74"/>
      <c r="C8" s="74"/>
      <c r="D8" s="74"/>
      <c r="E8" s="73"/>
      <c r="F8" s="218"/>
      <c r="G8" s="74"/>
      <c r="H8" s="74"/>
      <c r="I8" s="75"/>
      <c r="J8" s="75"/>
      <c r="K8" s="76"/>
      <c r="L8" s="77"/>
      <c r="M8" s="78"/>
      <c r="N8" s="75"/>
      <c r="O8" s="75"/>
      <c r="P8" s="75"/>
      <c r="Q8" s="74"/>
    </row>
    <row r="9" spans="1:19" ht="44.15" customHeight="1">
      <c r="A9" s="71">
        <v>9</v>
      </c>
      <c r="B9" s="190" t="s">
        <v>55</v>
      </c>
      <c r="C9" s="190" t="s">
        <v>56</v>
      </c>
      <c r="D9" s="190" t="s">
        <v>719</v>
      </c>
      <c r="E9" s="190" t="s">
        <v>57</v>
      </c>
      <c r="F9" s="190" t="s">
        <v>58</v>
      </c>
      <c r="G9" s="190" t="s">
        <v>59</v>
      </c>
      <c r="H9" s="190" t="s">
        <v>60</v>
      </c>
      <c r="I9" s="296" t="s">
        <v>61</v>
      </c>
      <c r="J9" s="296" t="s">
        <v>199</v>
      </c>
      <c r="K9" s="297" t="s">
        <v>62</v>
      </c>
      <c r="L9" s="298" t="s">
        <v>63</v>
      </c>
      <c r="M9" s="171" t="s">
        <v>64</v>
      </c>
      <c r="N9" s="298" t="s">
        <v>65</v>
      </c>
      <c r="O9" s="298" t="s">
        <v>66</v>
      </c>
      <c r="P9" s="176" t="s">
        <v>67</v>
      </c>
      <c r="Q9" s="176" t="s">
        <v>68</v>
      </c>
      <c r="R9" s="177"/>
      <c r="S9" s="176" t="s">
        <v>69</v>
      </c>
    </row>
    <row r="10" spans="1:19" ht="14.15" customHeight="1">
      <c r="A10" s="71">
        <v>10</v>
      </c>
      <c r="B10" s="67" t="s">
        <v>204</v>
      </c>
      <c r="C10" s="467" t="s">
        <v>613</v>
      </c>
      <c r="D10" s="467" t="s">
        <v>720</v>
      </c>
      <c r="E10" s="67" t="s">
        <v>713</v>
      </c>
      <c r="F10" s="67" t="s">
        <v>290</v>
      </c>
      <c r="G10" s="67" t="s">
        <v>583</v>
      </c>
      <c r="H10" s="287" t="s">
        <v>45</v>
      </c>
      <c r="I10" s="67" t="s">
        <v>599</v>
      </c>
      <c r="J10" s="67" t="s">
        <v>200</v>
      </c>
      <c r="K10" s="67">
        <v>6.7</v>
      </c>
      <c r="L10" s="299">
        <f t="shared" ref="L10:L56" si="0">SUM(M10:M10)</f>
        <v>200</v>
      </c>
      <c r="M10" s="221">
        <v>200</v>
      </c>
      <c r="N10" s="220" t="e">
        <f>IF(OR(M10="nio",M10="eigen dienst"),0,IF(M10&gt;0,M10*K10/O10,0))*VLOOKUP(B10,'2-Kosten per locatie'!$A$14:$C$33,3,FALSE)</f>
        <v>#DIV/0!</v>
      </c>
      <c r="O10" s="300">
        <f>IF(OR(M10="nio",M10="eigen dienst"),0,IF(M10&gt;0,VLOOKUP(H10,'3-Productie normen'!A:J,VLOOKUP(M10,'3-Productie normen'!$B$34:$C$35,2,FALSE),FALSE)))</f>
        <v>0</v>
      </c>
      <c r="P10" s="301" t="str">
        <f>VLOOKUP(H10,'3-Productie normen'!A:L,12,FALSE)</f>
        <v>L</v>
      </c>
      <c r="Q10" s="301"/>
      <c r="S10" s="302">
        <f t="shared" ref="S10:S56" si="1">L10*K10</f>
        <v>1340</v>
      </c>
    </row>
    <row r="11" spans="1:19" ht="14.15" customHeight="1">
      <c r="A11" s="71">
        <v>11</v>
      </c>
      <c r="B11" s="67" t="s">
        <v>204</v>
      </c>
      <c r="C11" s="467" t="s">
        <v>613</v>
      </c>
      <c r="D11" s="467" t="s">
        <v>720</v>
      </c>
      <c r="E11" s="67" t="s">
        <v>713</v>
      </c>
      <c r="F11" s="67" t="s">
        <v>291</v>
      </c>
      <c r="G11" s="67" t="s">
        <v>518</v>
      </c>
      <c r="H11" s="67" t="s">
        <v>630</v>
      </c>
      <c r="I11" s="67" t="s">
        <v>202</v>
      </c>
      <c r="J11" s="67" t="s">
        <v>200</v>
      </c>
      <c r="K11" s="67"/>
      <c r="L11" s="299">
        <f t="shared" si="0"/>
        <v>0</v>
      </c>
      <c r="M11" s="221" t="s">
        <v>629</v>
      </c>
      <c r="N11" s="220">
        <f>IF(OR(M11="nio",M11="eigen dienst"),0,IF(M11&gt;0,M11*K11/O11,0))*VLOOKUP(B11,'2-Kosten per locatie'!$A$14:$C$33,3,FALSE)</f>
        <v>0</v>
      </c>
      <c r="O11" s="300">
        <f>IF(OR(M11="nio",M11="eigen dienst"),0,IF(M11&gt;0,VLOOKUP(H11,'3-Productie normen'!A:J,VLOOKUP(M11,'3-Productie normen'!$B$34:$C$35,2,FALSE),FALSE)))</f>
        <v>0</v>
      </c>
      <c r="P11" s="301">
        <f>VLOOKUP(H11,'3-Productie normen'!A:L,12,FALSE)</f>
        <v>0</v>
      </c>
      <c r="Q11" s="301"/>
      <c r="S11" s="302">
        <f t="shared" si="1"/>
        <v>0</v>
      </c>
    </row>
    <row r="12" spans="1:19" ht="14.15" customHeight="1">
      <c r="A12" s="71">
        <v>12</v>
      </c>
      <c r="B12" s="67" t="s">
        <v>204</v>
      </c>
      <c r="C12" s="467" t="s">
        <v>613</v>
      </c>
      <c r="D12" s="467" t="s">
        <v>720</v>
      </c>
      <c r="E12" s="67" t="s">
        <v>713</v>
      </c>
      <c r="F12" s="67" t="s">
        <v>241</v>
      </c>
      <c r="G12" s="67" t="s">
        <v>515</v>
      </c>
      <c r="H12" s="67" t="s">
        <v>609</v>
      </c>
      <c r="I12" s="67" t="s">
        <v>202</v>
      </c>
      <c r="J12" s="67" t="s">
        <v>200</v>
      </c>
      <c r="K12" s="67">
        <v>41</v>
      </c>
      <c r="L12" s="299">
        <f t="shared" si="0"/>
        <v>200</v>
      </c>
      <c r="M12" s="221">
        <v>200</v>
      </c>
      <c r="N12" s="220" t="e">
        <f>IF(OR(M12="nio",M12="eigen dienst"),0,IF(M12&gt;0,M12*K12/O12,0))*VLOOKUP(B12,'2-Kosten per locatie'!$A$14:$C$33,3,FALSE)</f>
        <v>#DIV/0!</v>
      </c>
      <c r="O12" s="300">
        <f>IF(OR(M12="nio",M12="eigen dienst"),0,IF(M12&gt;0,VLOOKUP(H12,'3-Productie normen'!A:J,VLOOKUP(M12,'3-Productie normen'!$B$34:$C$35,2,FALSE),FALSE)))</f>
        <v>0</v>
      </c>
      <c r="P12" s="301" t="str">
        <f>VLOOKUP(H12,'3-Productie normen'!A:L,12,FALSE)</f>
        <v>L</v>
      </c>
      <c r="Q12" s="301"/>
      <c r="S12" s="302">
        <f t="shared" si="1"/>
        <v>8200</v>
      </c>
    </row>
    <row r="13" spans="1:19" ht="14.15" customHeight="1">
      <c r="A13" s="71">
        <v>13</v>
      </c>
      <c r="B13" s="67" t="s">
        <v>204</v>
      </c>
      <c r="C13" s="467" t="s">
        <v>613</v>
      </c>
      <c r="D13" s="467" t="s">
        <v>720</v>
      </c>
      <c r="E13" s="67" t="s">
        <v>713</v>
      </c>
      <c r="F13" s="67" t="s">
        <v>242</v>
      </c>
      <c r="G13" s="67" t="s">
        <v>518</v>
      </c>
      <c r="H13" s="67" t="s">
        <v>630</v>
      </c>
      <c r="I13" s="67" t="s">
        <v>202</v>
      </c>
      <c r="J13" s="67" t="s">
        <v>200</v>
      </c>
      <c r="K13" s="67"/>
      <c r="L13" s="299">
        <f t="shared" si="0"/>
        <v>0</v>
      </c>
      <c r="M13" s="221" t="s">
        <v>629</v>
      </c>
      <c r="N13" s="220">
        <f>IF(OR(M13="nio",M13="eigen dienst"),0,IF(M13&gt;0,M13*K13/O13,0))*VLOOKUP(B13,'2-Kosten per locatie'!$A$14:$C$33,3,FALSE)</f>
        <v>0</v>
      </c>
      <c r="O13" s="300">
        <f>IF(OR(M13="nio",M13="eigen dienst"),0,IF(M13&gt;0,VLOOKUP(H13,'3-Productie normen'!A:J,VLOOKUP(M13,'3-Productie normen'!$B$34:$C$35,2,FALSE),FALSE)))</f>
        <v>0</v>
      </c>
      <c r="P13" s="301">
        <f>VLOOKUP(H13,'3-Productie normen'!A:L,12,FALSE)</f>
        <v>0</v>
      </c>
      <c r="Q13" s="301"/>
      <c r="S13" s="302">
        <f t="shared" si="1"/>
        <v>0</v>
      </c>
    </row>
    <row r="14" spans="1:19" ht="14.15" customHeight="1">
      <c r="A14" s="71">
        <v>14</v>
      </c>
      <c r="B14" s="67" t="s">
        <v>204</v>
      </c>
      <c r="C14" s="467" t="s">
        <v>613</v>
      </c>
      <c r="D14" s="467" t="s">
        <v>720</v>
      </c>
      <c r="E14" s="67" t="s">
        <v>713</v>
      </c>
      <c r="F14" s="67" t="s">
        <v>243</v>
      </c>
      <c r="G14" s="67" t="s">
        <v>524</v>
      </c>
      <c r="H14" s="67" t="s">
        <v>609</v>
      </c>
      <c r="I14" s="67" t="s">
        <v>202</v>
      </c>
      <c r="J14" s="67" t="s">
        <v>200</v>
      </c>
      <c r="K14" s="67">
        <v>145</v>
      </c>
      <c r="L14" s="299">
        <f t="shared" si="0"/>
        <v>200</v>
      </c>
      <c r="M14" s="221">
        <v>200</v>
      </c>
      <c r="N14" s="220" t="e">
        <f>IF(OR(M14="nio",M14="eigen dienst"),0,IF(M14&gt;0,M14*K14/O14,0))*VLOOKUP(B14,'2-Kosten per locatie'!$A$14:$C$33,3,FALSE)</f>
        <v>#DIV/0!</v>
      </c>
      <c r="O14" s="300">
        <f>IF(OR(M14="nio",M14="eigen dienst"),0,IF(M14&gt;0,VLOOKUP(H14,'3-Productie normen'!A:J,VLOOKUP(M14,'3-Productie normen'!$B$34:$C$35,2,FALSE),FALSE)))</f>
        <v>0</v>
      </c>
      <c r="P14" s="301" t="str">
        <f>VLOOKUP(H14,'3-Productie normen'!A:L,12,FALSE)</f>
        <v>L</v>
      </c>
      <c r="Q14" s="301"/>
      <c r="S14" s="302">
        <f t="shared" si="1"/>
        <v>29000</v>
      </c>
    </row>
    <row r="15" spans="1:19" ht="14.15" customHeight="1">
      <c r="A15" s="71">
        <v>15</v>
      </c>
      <c r="B15" s="67" t="s">
        <v>204</v>
      </c>
      <c r="C15" s="467" t="s">
        <v>613</v>
      </c>
      <c r="D15" s="467" t="s">
        <v>720</v>
      </c>
      <c r="E15" s="67" t="s">
        <v>713</v>
      </c>
      <c r="F15" s="67" t="s">
        <v>244</v>
      </c>
      <c r="G15" s="67" t="s">
        <v>515</v>
      </c>
      <c r="H15" s="67" t="s">
        <v>609</v>
      </c>
      <c r="I15" s="67" t="s">
        <v>202</v>
      </c>
      <c r="J15" s="67" t="s">
        <v>200</v>
      </c>
      <c r="K15" s="67">
        <v>40</v>
      </c>
      <c r="L15" s="299">
        <f t="shared" si="0"/>
        <v>200</v>
      </c>
      <c r="M15" s="221">
        <v>200</v>
      </c>
      <c r="N15" s="220" t="e">
        <f>IF(OR(M15="nio",M15="eigen dienst"),0,IF(M15&gt;0,M15*K15/O15,0))*VLOOKUP(B15,'2-Kosten per locatie'!$A$14:$C$33,3,FALSE)</f>
        <v>#DIV/0!</v>
      </c>
      <c r="O15" s="300">
        <f>IF(OR(M15="nio",M15="eigen dienst"),0,IF(M15&gt;0,VLOOKUP(H15,'3-Productie normen'!A:J,VLOOKUP(M15,'3-Productie normen'!$B$34:$C$35,2,FALSE),FALSE)))</f>
        <v>0</v>
      </c>
      <c r="P15" s="301" t="str">
        <f>VLOOKUP(H15,'3-Productie normen'!A:L,12,FALSE)</f>
        <v>L</v>
      </c>
      <c r="Q15" s="301"/>
      <c r="S15" s="302">
        <f t="shared" si="1"/>
        <v>8000</v>
      </c>
    </row>
    <row r="16" spans="1:19" ht="14.15" customHeight="1">
      <c r="A16" s="71">
        <v>16</v>
      </c>
      <c r="B16" s="67" t="s">
        <v>204</v>
      </c>
      <c r="C16" s="467" t="s">
        <v>613</v>
      </c>
      <c r="D16" s="467" t="s">
        <v>720</v>
      </c>
      <c r="E16" s="67" t="s">
        <v>713</v>
      </c>
      <c r="F16" s="67" t="s">
        <v>249</v>
      </c>
      <c r="G16" s="67" t="s">
        <v>514</v>
      </c>
      <c r="H16" s="67" t="s">
        <v>37</v>
      </c>
      <c r="I16" s="67" t="s">
        <v>601</v>
      </c>
      <c r="J16" s="67" t="s">
        <v>179</v>
      </c>
      <c r="K16" s="67">
        <v>5</v>
      </c>
      <c r="L16" s="299">
        <f t="shared" si="0"/>
        <v>200</v>
      </c>
      <c r="M16" s="221">
        <v>200</v>
      </c>
      <c r="N16" s="220" t="e">
        <f>IF(OR(M16="nio",M16="eigen dienst"),0,IF(M16&gt;0,M16*K16/O16,0))*VLOOKUP(B16,'2-Kosten per locatie'!$A$14:$C$33,3,FALSE)</f>
        <v>#DIV/0!</v>
      </c>
      <c r="O16" s="300">
        <f>IF(OR(M16="nio",M16="eigen dienst"),0,IF(M16&gt;0,VLOOKUP(H16,'3-Productie normen'!A:J,VLOOKUP(M16,'3-Productie normen'!$B$34:$C$35,2,FALSE),FALSE)))</f>
        <v>0</v>
      </c>
      <c r="P16" s="301" t="str">
        <f>VLOOKUP(H16,'3-Productie normen'!A:L,12,FALSE)</f>
        <v>S</v>
      </c>
      <c r="Q16" s="301"/>
      <c r="S16" s="302">
        <f t="shared" si="1"/>
        <v>1000</v>
      </c>
    </row>
    <row r="17" spans="1:19" ht="14.15" customHeight="1">
      <c r="A17" s="71">
        <v>17</v>
      </c>
      <c r="B17" s="67" t="s">
        <v>204</v>
      </c>
      <c r="C17" s="467" t="s">
        <v>613</v>
      </c>
      <c r="D17" s="467" t="s">
        <v>720</v>
      </c>
      <c r="E17" s="67" t="s">
        <v>713</v>
      </c>
      <c r="F17" s="67" t="s">
        <v>250</v>
      </c>
      <c r="G17" s="67" t="s">
        <v>514</v>
      </c>
      <c r="H17" s="67" t="s">
        <v>37</v>
      </c>
      <c r="I17" s="67" t="s">
        <v>601</v>
      </c>
      <c r="J17" s="67" t="s">
        <v>179</v>
      </c>
      <c r="K17" s="67">
        <v>5</v>
      </c>
      <c r="L17" s="299">
        <f t="shared" si="0"/>
        <v>200</v>
      </c>
      <c r="M17" s="221">
        <v>200</v>
      </c>
      <c r="N17" s="220" t="e">
        <f>IF(OR(M17="nio",M17="eigen dienst"),0,IF(M17&gt;0,M17*K17/O17,0))*VLOOKUP(B17,'2-Kosten per locatie'!$A$14:$C$33,3,FALSE)</f>
        <v>#DIV/0!</v>
      </c>
      <c r="O17" s="300">
        <f>IF(OR(M17="nio",M17="eigen dienst"),0,IF(M17&gt;0,VLOOKUP(H17,'3-Productie normen'!A:J,VLOOKUP(M17,'3-Productie normen'!$B$34:$C$35,2,FALSE),FALSE)))</f>
        <v>0</v>
      </c>
      <c r="P17" s="301" t="str">
        <f>VLOOKUP(H17,'3-Productie normen'!A:L,12,FALSE)</f>
        <v>S</v>
      </c>
      <c r="Q17" s="301"/>
      <c r="S17" s="302">
        <f t="shared" si="1"/>
        <v>1000</v>
      </c>
    </row>
    <row r="18" spans="1:19" ht="14.15" customHeight="1">
      <c r="A18" s="71">
        <v>18</v>
      </c>
      <c r="B18" s="67" t="s">
        <v>204</v>
      </c>
      <c r="C18" s="467" t="s">
        <v>613</v>
      </c>
      <c r="D18" s="467" t="s">
        <v>720</v>
      </c>
      <c r="E18" s="67" t="s">
        <v>713</v>
      </c>
      <c r="F18" s="67" t="s">
        <v>251</v>
      </c>
      <c r="G18" s="67" t="s">
        <v>512</v>
      </c>
      <c r="H18" s="67" t="s">
        <v>39</v>
      </c>
      <c r="I18" s="67" t="s">
        <v>202</v>
      </c>
      <c r="J18" s="67" t="s">
        <v>200</v>
      </c>
      <c r="K18" s="67">
        <v>22</v>
      </c>
      <c r="L18" s="299">
        <f t="shared" si="0"/>
        <v>200</v>
      </c>
      <c r="M18" s="221">
        <v>200</v>
      </c>
      <c r="N18" s="220" t="e">
        <f>IF(OR(M18="nio",M18="eigen dienst"),0,IF(M18&gt;0,M18*K18/O18,0))*VLOOKUP(B18,'2-Kosten per locatie'!$A$14:$C$33,3,FALSE)</f>
        <v>#DIV/0!</v>
      </c>
      <c r="O18" s="300">
        <f>IF(OR(M18="nio",M18="eigen dienst"),0,IF(M18&gt;0,VLOOKUP(H18,'3-Productie normen'!A:J,VLOOKUP(M18,'3-Productie normen'!$B$34:$C$35,2,FALSE),FALSE)))</f>
        <v>0</v>
      </c>
      <c r="P18" s="301" t="str">
        <f>VLOOKUP(H18,'3-Productie normen'!A:L,12,FALSE)</f>
        <v>V</v>
      </c>
      <c r="Q18" s="301"/>
      <c r="S18" s="302">
        <f t="shared" si="1"/>
        <v>4400</v>
      </c>
    </row>
    <row r="19" spans="1:19" ht="14.15" customHeight="1">
      <c r="A19" s="71">
        <v>19</v>
      </c>
      <c r="B19" s="67" t="s">
        <v>204</v>
      </c>
      <c r="C19" s="467" t="s">
        <v>613</v>
      </c>
      <c r="D19" s="467" t="s">
        <v>720</v>
      </c>
      <c r="E19" s="67" t="s">
        <v>713</v>
      </c>
      <c r="F19" s="67" t="s">
        <v>288</v>
      </c>
      <c r="G19" s="67" t="s">
        <v>518</v>
      </c>
      <c r="H19" s="67" t="s">
        <v>630</v>
      </c>
      <c r="I19" s="67" t="s">
        <v>202</v>
      </c>
      <c r="J19" s="67" t="s">
        <v>200</v>
      </c>
      <c r="K19" s="67">
        <v>2.2000000000000002</v>
      </c>
      <c r="L19" s="299">
        <f t="shared" si="0"/>
        <v>0</v>
      </c>
      <c r="M19" s="221" t="s">
        <v>629</v>
      </c>
      <c r="N19" s="220">
        <f>IF(OR(M19="nio",M19="eigen dienst"),0,IF(M19&gt;0,M19*K19/O19,0))*VLOOKUP(B19,'2-Kosten per locatie'!$A$14:$C$33,3,FALSE)</f>
        <v>0</v>
      </c>
      <c r="O19" s="300">
        <f>IF(OR(M19="nio",M19="eigen dienst"),0,IF(M19&gt;0,VLOOKUP(H19,'3-Productie normen'!A:J,VLOOKUP(M19,'3-Productie normen'!$B$34:$C$35,2,FALSE),FALSE)))</f>
        <v>0</v>
      </c>
      <c r="P19" s="301">
        <f>VLOOKUP(H19,'3-Productie normen'!A:L,12,FALSE)</f>
        <v>0</v>
      </c>
      <c r="Q19" s="301"/>
      <c r="S19" s="302">
        <f t="shared" si="1"/>
        <v>0</v>
      </c>
    </row>
    <row r="20" spans="1:19" ht="14.15" customHeight="1">
      <c r="A20" s="71">
        <v>20</v>
      </c>
      <c r="B20" s="67" t="s">
        <v>204</v>
      </c>
      <c r="C20" s="467" t="s">
        <v>613</v>
      </c>
      <c r="D20" s="467" t="s">
        <v>720</v>
      </c>
      <c r="E20" s="67" t="s">
        <v>713</v>
      </c>
      <c r="F20" s="67" t="s">
        <v>289</v>
      </c>
      <c r="G20" s="67" t="s">
        <v>522</v>
      </c>
      <c r="H20" s="67" t="s">
        <v>630</v>
      </c>
      <c r="I20" s="67" t="s">
        <v>202</v>
      </c>
      <c r="J20" s="67" t="s">
        <v>200</v>
      </c>
      <c r="K20" s="67">
        <v>1.5</v>
      </c>
      <c r="L20" s="299">
        <f t="shared" si="0"/>
        <v>0</v>
      </c>
      <c r="M20" s="221" t="s">
        <v>629</v>
      </c>
      <c r="N20" s="220">
        <f>IF(OR(M20="nio",M20="eigen dienst"),0,IF(M20&gt;0,M20*K20/O20,0))*VLOOKUP(B20,'2-Kosten per locatie'!$A$14:$C$33,3,FALSE)</f>
        <v>0</v>
      </c>
      <c r="O20" s="300">
        <f>IF(OR(M20="nio",M20="eigen dienst"),0,IF(M20&gt;0,VLOOKUP(H20,'3-Productie normen'!A:J,VLOOKUP(M20,'3-Productie normen'!$B$34:$C$35,2,FALSE),FALSE)))</f>
        <v>0</v>
      </c>
      <c r="P20" s="301">
        <f>VLOOKUP(H20,'3-Productie normen'!A:L,12,FALSE)</f>
        <v>0</v>
      </c>
      <c r="Q20" s="301"/>
      <c r="S20" s="302">
        <f t="shared" si="1"/>
        <v>0</v>
      </c>
    </row>
    <row r="21" spans="1:19" ht="14.15" customHeight="1">
      <c r="A21" s="71">
        <v>21</v>
      </c>
      <c r="B21" s="67" t="s">
        <v>204</v>
      </c>
      <c r="C21" s="467" t="s">
        <v>613</v>
      </c>
      <c r="D21" s="467" t="s">
        <v>720</v>
      </c>
      <c r="E21" s="67" t="s">
        <v>713</v>
      </c>
      <c r="F21" s="67" t="s">
        <v>254</v>
      </c>
      <c r="G21" s="67" t="s">
        <v>513</v>
      </c>
      <c r="H21" s="67" t="s">
        <v>45</v>
      </c>
      <c r="I21" s="67" t="s">
        <v>599</v>
      </c>
      <c r="J21" s="67" t="s">
        <v>200</v>
      </c>
      <c r="K21" s="67">
        <v>86</v>
      </c>
      <c r="L21" s="299">
        <f t="shared" si="0"/>
        <v>200</v>
      </c>
      <c r="M21" s="221">
        <v>200</v>
      </c>
      <c r="N21" s="220" t="e">
        <f>IF(OR(M21="nio",M21="eigen dienst"),0,IF(M21&gt;0,M21*K21/O21,0))*VLOOKUP(B21,'2-Kosten per locatie'!$A$14:$C$33,3,FALSE)</f>
        <v>#DIV/0!</v>
      </c>
      <c r="O21" s="300">
        <f>IF(OR(M21="nio",M21="eigen dienst"),0,IF(M21&gt;0,VLOOKUP(H21,'3-Productie normen'!A:J,VLOOKUP(M21,'3-Productie normen'!$B$34:$C$35,2,FALSE),FALSE)))</f>
        <v>0</v>
      </c>
      <c r="P21" s="301" t="str">
        <f>VLOOKUP(H21,'3-Productie normen'!A:L,12,FALSE)</f>
        <v>L</v>
      </c>
      <c r="Q21" s="301"/>
      <c r="S21" s="302">
        <f t="shared" si="1"/>
        <v>17200</v>
      </c>
    </row>
    <row r="22" spans="1:19" ht="14.15" customHeight="1">
      <c r="A22" s="71">
        <v>22</v>
      </c>
      <c r="B22" s="67" t="s">
        <v>204</v>
      </c>
      <c r="C22" s="467" t="s">
        <v>613</v>
      </c>
      <c r="D22" s="467" t="s">
        <v>720</v>
      </c>
      <c r="E22" s="67" t="s">
        <v>713</v>
      </c>
      <c r="F22" s="67" t="s">
        <v>255</v>
      </c>
      <c r="G22" s="67" t="s">
        <v>525</v>
      </c>
      <c r="H22" s="67" t="s">
        <v>39</v>
      </c>
      <c r="I22" s="67" t="s">
        <v>202</v>
      </c>
      <c r="J22" s="67" t="s">
        <v>200</v>
      </c>
      <c r="K22" s="67">
        <v>120</v>
      </c>
      <c r="L22" s="299">
        <f t="shared" si="0"/>
        <v>200</v>
      </c>
      <c r="M22" s="221">
        <v>200</v>
      </c>
      <c r="N22" s="220" t="e">
        <f>IF(OR(M22="nio",M22="eigen dienst"),0,IF(M22&gt;0,M22*K22/O22,0))*VLOOKUP(B22,'2-Kosten per locatie'!$A$14:$C$33,3,FALSE)</f>
        <v>#DIV/0!</v>
      </c>
      <c r="O22" s="300">
        <f>IF(OR(M22="nio",M22="eigen dienst"),0,IF(M22&gt;0,VLOOKUP(H22,'3-Productie normen'!A:J,VLOOKUP(M22,'3-Productie normen'!$B$34:$C$35,2,FALSE),FALSE)))</f>
        <v>0</v>
      </c>
      <c r="P22" s="301" t="str">
        <f>VLOOKUP(H22,'3-Productie normen'!A:L,12,FALSE)</f>
        <v>V</v>
      </c>
      <c r="Q22" s="301"/>
      <c r="S22" s="302">
        <f t="shared" si="1"/>
        <v>24000</v>
      </c>
    </row>
    <row r="23" spans="1:19" ht="14.15" customHeight="1">
      <c r="A23" s="71">
        <v>23</v>
      </c>
      <c r="B23" s="67" t="s">
        <v>204</v>
      </c>
      <c r="C23" s="467" t="s">
        <v>613</v>
      </c>
      <c r="D23" s="467" t="s">
        <v>720</v>
      </c>
      <c r="E23" s="67" t="s">
        <v>713</v>
      </c>
      <c r="F23" s="67" t="s">
        <v>256</v>
      </c>
      <c r="G23" s="67" t="s">
        <v>526</v>
      </c>
      <c r="H23" s="67" t="s">
        <v>41</v>
      </c>
      <c r="I23" s="67" t="s">
        <v>202</v>
      </c>
      <c r="J23" s="67" t="s">
        <v>200</v>
      </c>
      <c r="K23" s="67">
        <v>10</v>
      </c>
      <c r="L23" s="299">
        <f t="shared" si="0"/>
        <v>200</v>
      </c>
      <c r="M23" s="221">
        <v>200</v>
      </c>
      <c r="N23" s="220" t="e">
        <f>IF(OR(M23="nio",M23="eigen dienst"),0,IF(M23&gt;0,M23*K23/O23,0))*VLOOKUP(B23,'2-Kosten per locatie'!$A$14:$C$33,3,FALSE)</f>
        <v>#DIV/0!</v>
      </c>
      <c r="O23" s="300">
        <f>IF(OR(M23="nio",M23="eigen dienst"),0,IF(M23&gt;0,VLOOKUP(H23,'3-Productie normen'!A:J,VLOOKUP(M23,'3-Productie normen'!$B$34:$C$35,2,FALSE),FALSE)))</f>
        <v>0</v>
      </c>
      <c r="P23" s="301" t="str">
        <f>VLOOKUP(H23,'3-Productie normen'!A:L,12,FALSE)</f>
        <v>V</v>
      </c>
      <c r="Q23" s="301"/>
      <c r="S23" s="302">
        <f t="shared" si="1"/>
        <v>2000</v>
      </c>
    </row>
    <row r="24" spans="1:19" ht="14.15" customHeight="1">
      <c r="A24" s="71">
        <v>24</v>
      </c>
      <c r="B24" s="67" t="s">
        <v>204</v>
      </c>
      <c r="C24" s="467" t="s">
        <v>613</v>
      </c>
      <c r="D24" s="467" t="s">
        <v>720</v>
      </c>
      <c r="E24" s="67" t="s">
        <v>713</v>
      </c>
      <c r="F24" s="67" t="s">
        <v>257</v>
      </c>
      <c r="G24" s="67" t="s">
        <v>516</v>
      </c>
      <c r="H24" s="67" t="s">
        <v>35</v>
      </c>
      <c r="I24" s="67" t="s">
        <v>202</v>
      </c>
      <c r="J24" s="67" t="s">
        <v>200</v>
      </c>
      <c r="K24" s="67">
        <v>26</v>
      </c>
      <c r="L24" s="299">
        <f t="shared" si="0"/>
        <v>200</v>
      </c>
      <c r="M24" s="221">
        <v>200</v>
      </c>
      <c r="N24" s="220" t="e">
        <f>IF(OR(M24="nio",M24="eigen dienst"),0,IF(M24&gt;0,M24*K24/O24,0))*VLOOKUP(B24,'2-Kosten per locatie'!$A$14:$C$33,3,FALSE)</f>
        <v>#DIV/0!</v>
      </c>
      <c r="O24" s="300">
        <f>IF(OR(M24="nio",M24="eigen dienst"),0,IF(M24&gt;0,VLOOKUP(H24,'3-Productie normen'!A:J,VLOOKUP(M24,'3-Productie normen'!$B$34:$C$35,2,FALSE),FALSE)))</f>
        <v>0</v>
      </c>
      <c r="P24" s="301" t="str">
        <f>VLOOKUP(H24,'3-Productie normen'!A:L,12,FALSE)</f>
        <v>B</v>
      </c>
      <c r="Q24" s="301"/>
      <c r="S24" s="302">
        <f t="shared" si="1"/>
        <v>5200</v>
      </c>
    </row>
    <row r="25" spans="1:19" ht="14.15" customHeight="1">
      <c r="A25" s="71">
        <v>25</v>
      </c>
      <c r="B25" s="67" t="s">
        <v>204</v>
      </c>
      <c r="C25" s="467" t="s">
        <v>613</v>
      </c>
      <c r="D25" s="467" t="s">
        <v>720</v>
      </c>
      <c r="E25" s="67" t="s">
        <v>713</v>
      </c>
      <c r="F25" s="67" t="s">
        <v>258</v>
      </c>
      <c r="G25" s="67" t="s">
        <v>516</v>
      </c>
      <c r="H25" s="67" t="s">
        <v>35</v>
      </c>
      <c r="I25" s="67" t="s">
        <v>202</v>
      </c>
      <c r="J25" s="67" t="s">
        <v>200</v>
      </c>
      <c r="K25" s="67">
        <v>12</v>
      </c>
      <c r="L25" s="299">
        <f t="shared" si="0"/>
        <v>200</v>
      </c>
      <c r="M25" s="221">
        <v>200</v>
      </c>
      <c r="N25" s="220" t="e">
        <f>IF(OR(M25="nio",M25="eigen dienst"),0,IF(M25&gt;0,M25*K25/O25,0))*VLOOKUP(B25,'2-Kosten per locatie'!$A$14:$C$33,3,FALSE)</f>
        <v>#DIV/0!</v>
      </c>
      <c r="O25" s="300">
        <f>IF(OR(M25="nio",M25="eigen dienst"),0,IF(M25&gt;0,VLOOKUP(H25,'3-Productie normen'!A:J,VLOOKUP(M25,'3-Productie normen'!$B$34:$C$35,2,FALSE),FALSE)))</f>
        <v>0</v>
      </c>
      <c r="P25" s="301" t="str">
        <f>VLOOKUP(H25,'3-Productie normen'!A:L,12,FALSE)</f>
        <v>B</v>
      </c>
      <c r="Q25" s="301"/>
      <c r="S25" s="302">
        <f t="shared" si="1"/>
        <v>2400</v>
      </c>
    </row>
    <row r="26" spans="1:19" ht="14.15" customHeight="1">
      <c r="A26" s="71">
        <v>26</v>
      </c>
      <c r="B26" s="67" t="s">
        <v>204</v>
      </c>
      <c r="C26" s="467" t="s">
        <v>613</v>
      </c>
      <c r="D26" s="467" t="s">
        <v>720</v>
      </c>
      <c r="E26" s="67" t="s">
        <v>713</v>
      </c>
      <c r="F26" s="67" t="s">
        <v>259</v>
      </c>
      <c r="G26" s="67" t="s">
        <v>47</v>
      </c>
      <c r="H26" s="67" t="s">
        <v>47</v>
      </c>
      <c r="I26" s="67" t="s">
        <v>202</v>
      </c>
      <c r="J26" s="67" t="s">
        <v>200</v>
      </c>
      <c r="K26" s="67">
        <v>11</v>
      </c>
      <c r="L26" s="299">
        <f t="shared" si="0"/>
        <v>200</v>
      </c>
      <c r="M26" s="221">
        <v>200</v>
      </c>
      <c r="N26" s="220" t="e">
        <f>IF(OR(M26="nio",M26="eigen dienst"),0,IF(M26&gt;0,M26*K26/O26,0))*VLOOKUP(B26,'2-Kosten per locatie'!$A$14:$C$33,3,FALSE)</f>
        <v>#DIV/0!</v>
      </c>
      <c r="O26" s="300">
        <f>IF(OR(M26="nio",M26="eigen dienst"),0,IF(M26&gt;0,VLOOKUP(H26,'3-Productie normen'!A:J,VLOOKUP(M26,'3-Productie normen'!$B$34:$C$35,2,FALSE),FALSE)))</f>
        <v>0</v>
      </c>
      <c r="P26" s="301" t="str">
        <f>VLOOKUP(H26,'3-Productie normen'!A:L,12,FALSE)</f>
        <v>V</v>
      </c>
      <c r="Q26" s="301"/>
      <c r="S26" s="302">
        <f t="shared" si="1"/>
        <v>2200</v>
      </c>
    </row>
    <row r="27" spans="1:19" ht="14.15" customHeight="1">
      <c r="A27" s="71">
        <v>27</v>
      </c>
      <c r="B27" s="67" t="s">
        <v>204</v>
      </c>
      <c r="C27" s="467" t="s">
        <v>613</v>
      </c>
      <c r="D27" s="467" t="s">
        <v>720</v>
      </c>
      <c r="E27" s="67" t="s">
        <v>713</v>
      </c>
      <c r="F27" s="67" t="s">
        <v>260</v>
      </c>
      <c r="G27" s="67" t="s">
        <v>527</v>
      </c>
      <c r="H27" s="67" t="s">
        <v>630</v>
      </c>
      <c r="I27" s="67" t="s">
        <v>202</v>
      </c>
      <c r="J27" s="67" t="s">
        <v>200</v>
      </c>
      <c r="K27" s="67"/>
      <c r="L27" s="299">
        <f t="shared" si="0"/>
        <v>0</v>
      </c>
      <c r="M27" s="221" t="s">
        <v>629</v>
      </c>
      <c r="N27" s="220">
        <f>IF(OR(M27="nio",M27="eigen dienst"),0,IF(M27&gt;0,M27*K27/O27,0))*VLOOKUP(B27,'2-Kosten per locatie'!$A$14:$C$33,3,FALSE)</f>
        <v>0</v>
      </c>
      <c r="O27" s="300">
        <f>IF(OR(M27="nio",M27="eigen dienst"),0,IF(M27&gt;0,VLOOKUP(H27,'3-Productie normen'!A:J,VLOOKUP(M27,'3-Productie normen'!$B$34:$C$35,2,FALSE),FALSE)))</f>
        <v>0</v>
      </c>
      <c r="P27" s="301">
        <f>VLOOKUP(H27,'3-Productie normen'!A:L,12,FALSE)</f>
        <v>0</v>
      </c>
      <c r="Q27" s="301"/>
      <c r="S27" s="302">
        <f t="shared" si="1"/>
        <v>0</v>
      </c>
    </row>
    <row r="28" spans="1:19" ht="14.15" customHeight="1">
      <c r="A28" s="71">
        <v>28</v>
      </c>
      <c r="B28" s="67" t="s">
        <v>204</v>
      </c>
      <c r="C28" s="467" t="s">
        <v>613</v>
      </c>
      <c r="D28" s="467" t="s">
        <v>720</v>
      </c>
      <c r="E28" s="67" t="s">
        <v>713</v>
      </c>
      <c r="F28" s="67" t="s">
        <v>261</v>
      </c>
      <c r="G28" s="67" t="s">
        <v>518</v>
      </c>
      <c r="H28" s="67" t="s">
        <v>630</v>
      </c>
      <c r="I28" s="67" t="s">
        <v>202</v>
      </c>
      <c r="J28" s="67" t="s">
        <v>200</v>
      </c>
      <c r="K28" s="67"/>
      <c r="L28" s="299">
        <f t="shared" si="0"/>
        <v>0</v>
      </c>
      <c r="M28" s="221" t="s">
        <v>629</v>
      </c>
      <c r="N28" s="220">
        <f>IF(OR(M28="nio",M28="eigen dienst"),0,IF(M28&gt;0,M28*K28/O28,0))*VLOOKUP(B28,'2-Kosten per locatie'!$A$14:$C$33,3,FALSE)</f>
        <v>0</v>
      </c>
      <c r="O28" s="300">
        <f>IF(OR(M28="nio",M28="eigen dienst"),0,IF(M28&gt;0,VLOOKUP(H28,'3-Productie normen'!A:J,VLOOKUP(M28,'3-Productie normen'!$B$34:$C$35,2,FALSE),FALSE)))</f>
        <v>0</v>
      </c>
      <c r="P28" s="301">
        <f>VLOOKUP(H28,'3-Productie normen'!A:L,12,FALSE)</f>
        <v>0</v>
      </c>
      <c r="Q28" s="301"/>
      <c r="S28" s="302">
        <f t="shared" si="1"/>
        <v>0</v>
      </c>
    </row>
    <row r="29" spans="1:19" ht="14.15" customHeight="1">
      <c r="A29" s="71">
        <v>29</v>
      </c>
      <c r="B29" s="67" t="s">
        <v>204</v>
      </c>
      <c r="C29" s="467" t="s">
        <v>613</v>
      </c>
      <c r="D29" s="467" t="s">
        <v>720</v>
      </c>
      <c r="E29" s="67" t="s">
        <v>713</v>
      </c>
      <c r="F29" s="67" t="s">
        <v>262</v>
      </c>
      <c r="G29" s="67" t="s">
        <v>514</v>
      </c>
      <c r="H29" s="67" t="s">
        <v>37</v>
      </c>
      <c r="I29" s="67" t="s">
        <v>601</v>
      </c>
      <c r="J29" s="67" t="s">
        <v>179</v>
      </c>
      <c r="K29" s="67">
        <v>1.5</v>
      </c>
      <c r="L29" s="299">
        <f t="shared" si="0"/>
        <v>200</v>
      </c>
      <c r="M29" s="221">
        <v>200</v>
      </c>
      <c r="N29" s="220" t="e">
        <f>IF(OR(M29="nio",M29="eigen dienst"),0,IF(M29&gt;0,M29*K29/O29,0))*VLOOKUP(B29,'2-Kosten per locatie'!$A$14:$C$33,3,FALSE)</f>
        <v>#DIV/0!</v>
      </c>
      <c r="O29" s="300">
        <f>IF(OR(M29="nio",M29="eigen dienst"),0,IF(M29&gt;0,VLOOKUP(H29,'3-Productie normen'!A:J,VLOOKUP(M29,'3-Productie normen'!$B$34:$C$35,2,FALSE),FALSE)))</f>
        <v>0</v>
      </c>
      <c r="P29" s="301" t="str">
        <f>VLOOKUP(H29,'3-Productie normen'!A:L,12,FALSE)</f>
        <v>S</v>
      </c>
      <c r="Q29" s="301"/>
      <c r="S29" s="302">
        <f t="shared" si="1"/>
        <v>300</v>
      </c>
    </row>
    <row r="30" spans="1:19" ht="14.15" customHeight="1">
      <c r="A30" s="71">
        <v>30</v>
      </c>
      <c r="B30" s="67" t="s">
        <v>204</v>
      </c>
      <c r="C30" s="467" t="s">
        <v>613</v>
      </c>
      <c r="D30" s="467" t="s">
        <v>720</v>
      </c>
      <c r="E30" s="67" t="s">
        <v>713</v>
      </c>
      <c r="F30" s="67" t="s">
        <v>263</v>
      </c>
      <c r="G30" s="67" t="s">
        <v>514</v>
      </c>
      <c r="H30" s="67" t="s">
        <v>37</v>
      </c>
      <c r="I30" s="67" t="s">
        <v>601</v>
      </c>
      <c r="J30" s="67" t="s">
        <v>179</v>
      </c>
      <c r="K30" s="67">
        <v>6</v>
      </c>
      <c r="L30" s="299">
        <f t="shared" si="0"/>
        <v>200</v>
      </c>
      <c r="M30" s="221">
        <v>200</v>
      </c>
      <c r="N30" s="220" t="e">
        <f>IF(OR(M30="nio",M30="eigen dienst"),0,IF(M30&gt;0,M30*K30/O30,0))*VLOOKUP(B30,'2-Kosten per locatie'!$A$14:$C$33,3,FALSE)</f>
        <v>#DIV/0!</v>
      </c>
      <c r="O30" s="300">
        <f>IF(OR(M30="nio",M30="eigen dienst"),0,IF(M30&gt;0,VLOOKUP(H30,'3-Productie normen'!A:J,VLOOKUP(M30,'3-Productie normen'!$B$34:$C$35,2,FALSE),FALSE)))</f>
        <v>0</v>
      </c>
      <c r="P30" s="301" t="str">
        <f>VLOOKUP(H30,'3-Productie normen'!A:L,12,FALSE)</f>
        <v>S</v>
      </c>
      <c r="Q30" s="301"/>
      <c r="S30" s="302">
        <f t="shared" si="1"/>
        <v>1200</v>
      </c>
    </row>
    <row r="31" spans="1:19" ht="14.15" customHeight="1">
      <c r="A31" s="71">
        <v>31</v>
      </c>
      <c r="B31" s="67" t="s">
        <v>204</v>
      </c>
      <c r="C31" s="467" t="s">
        <v>613</v>
      </c>
      <c r="D31" s="467" t="s">
        <v>720</v>
      </c>
      <c r="E31" s="67" t="s">
        <v>713</v>
      </c>
      <c r="F31" s="67" t="s">
        <v>264</v>
      </c>
      <c r="G31" s="67" t="s">
        <v>514</v>
      </c>
      <c r="H31" s="67" t="s">
        <v>37</v>
      </c>
      <c r="I31" s="67" t="s">
        <v>601</v>
      </c>
      <c r="J31" s="67" t="s">
        <v>179</v>
      </c>
      <c r="K31" s="67">
        <v>6</v>
      </c>
      <c r="L31" s="299">
        <f t="shared" si="0"/>
        <v>200</v>
      </c>
      <c r="M31" s="221">
        <v>200</v>
      </c>
      <c r="N31" s="220" t="e">
        <f>IF(OR(M31="nio",M31="eigen dienst"),0,IF(M31&gt;0,M31*K31/O31,0))*VLOOKUP(B31,'2-Kosten per locatie'!$A$14:$C$33,3,FALSE)</f>
        <v>#DIV/0!</v>
      </c>
      <c r="O31" s="300">
        <f>IF(OR(M31="nio",M31="eigen dienst"),0,IF(M31&gt;0,VLOOKUP(H31,'3-Productie normen'!A:J,VLOOKUP(M31,'3-Productie normen'!$B$34:$C$35,2,FALSE),FALSE)))</f>
        <v>0</v>
      </c>
      <c r="P31" s="301" t="str">
        <f>VLOOKUP(H31,'3-Productie normen'!A:L,12,FALSE)</f>
        <v>S</v>
      </c>
      <c r="Q31" s="301"/>
      <c r="S31" s="302">
        <f t="shared" si="1"/>
        <v>1200</v>
      </c>
    </row>
    <row r="32" spans="1:19" ht="14.15" customHeight="1">
      <c r="A32" s="71">
        <v>32</v>
      </c>
      <c r="B32" s="67" t="s">
        <v>204</v>
      </c>
      <c r="C32" s="467" t="s">
        <v>613</v>
      </c>
      <c r="D32" s="467" t="s">
        <v>720</v>
      </c>
      <c r="E32" s="67" t="s">
        <v>713</v>
      </c>
      <c r="F32" s="67" t="s">
        <v>292</v>
      </c>
      <c r="G32" s="67" t="s">
        <v>49</v>
      </c>
      <c r="H32" s="67" t="s">
        <v>49</v>
      </c>
      <c r="I32" s="67" t="s">
        <v>202</v>
      </c>
      <c r="J32" s="67" t="s">
        <v>200</v>
      </c>
      <c r="K32" s="67">
        <v>3</v>
      </c>
      <c r="L32" s="299">
        <f t="shared" si="0"/>
        <v>200</v>
      </c>
      <c r="M32" s="221">
        <v>200</v>
      </c>
      <c r="N32" s="220" t="e">
        <f>IF(OR(M32="nio",M32="eigen dienst"),0,IF(M32&gt;0,M32*K32/O32,0))*VLOOKUP(B32,'2-Kosten per locatie'!$A$14:$C$33,3,FALSE)</f>
        <v>#DIV/0!</v>
      </c>
      <c r="O32" s="300">
        <f>IF(OR(M32="nio",M32="eigen dienst"),0,IF(M32&gt;0,VLOOKUP(H32,'3-Productie normen'!A:J,VLOOKUP(M32,'3-Productie normen'!$B$34:$C$35,2,FALSE),FALSE)))</f>
        <v>0</v>
      </c>
      <c r="P32" s="301" t="str">
        <f>VLOOKUP(H32,'3-Productie normen'!A:L,12,FALSE)</f>
        <v>V</v>
      </c>
      <c r="Q32" s="301"/>
      <c r="S32" s="302">
        <f t="shared" si="1"/>
        <v>600</v>
      </c>
    </row>
    <row r="33" spans="1:19" ht="14.15" customHeight="1">
      <c r="A33" s="71">
        <v>33</v>
      </c>
      <c r="B33" s="67" t="s">
        <v>204</v>
      </c>
      <c r="C33" s="467" t="s">
        <v>613</v>
      </c>
      <c r="D33" s="467" t="s">
        <v>720</v>
      </c>
      <c r="E33" s="67" t="s">
        <v>713</v>
      </c>
      <c r="F33" s="67" t="s">
        <v>293</v>
      </c>
      <c r="G33" s="67" t="s">
        <v>539</v>
      </c>
      <c r="H33" s="67" t="s">
        <v>37</v>
      </c>
      <c r="I33" s="67" t="s">
        <v>601</v>
      </c>
      <c r="J33" s="67" t="s">
        <v>179</v>
      </c>
      <c r="K33" s="67">
        <v>5</v>
      </c>
      <c r="L33" s="299">
        <f t="shared" si="0"/>
        <v>200</v>
      </c>
      <c r="M33" s="221">
        <v>200</v>
      </c>
      <c r="N33" s="220" t="e">
        <f>IF(OR(M33="nio",M33="eigen dienst"),0,IF(M33&gt;0,M33*K33/O33,0))*VLOOKUP(B33,'2-Kosten per locatie'!$A$14:$C$33,3,FALSE)</f>
        <v>#DIV/0!</v>
      </c>
      <c r="O33" s="300">
        <f>IF(OR(M33="nio",M33="eigen dienst"),0,IF(M33&gt;0,VLOOKUP(H33,'3-Productie normen'!A:J,VLOOKUP(M33,'3-Productie normen'!$B$34:$C$35,2,FALSE),FALSE)))</f>
        <v>0</v>
      </c>
      <c r="P33" s="301" t="str">
        <f>VLOOKUP(H33,'3-Productie normen'!A:L,12,FALSE)</f>
        <v>S</v>
      </c>
      <c r="Q33" s="301"/>
      <c r="S33" s="302">
        <f t="shared" si="1"/>
        <v>1000</v>
      </c>
    </row>
    <row r="34" spans="1:19" ht="14.15" customHeight="1">
      <c r="A34" s="71">
        <v>34</v>
      </c>
      <c r="B34" s="67" t="s">
        <v>204</v>
      </c>
      <c r="C34" s="467" t="s">
        <v>613</v>
      </c>
      <c r="D34" s="467" t="s">
        <v>720</v>
      </c>
      <c r="E34" s="67" t="s">
        <v>713</v>
      </c>
      <c r="F34" s="67" t="s">
        <v>294</v>
      </c>
      <c r="G34" s="67" t="s">
        <v>518</v>
      </c>
      <c r="H34" s="67" t="s">
        <v>630</v>
      </c>
      <c r="I34" s="67" t="s">
        <v>202</v>
      </c>
      <c r="J34" s="67" t="s">
        <v>200</v>
      </c>
      <c r="K34" s="67"/>
      <c r="L34" s="299">
        <f t="shared" si="0"/>
        <v>0</v>
      </c>
      <c r="M34" s="221" t="s">
        <v>629</v>
      </c>
      <c r="N34" s="220">
        <f>IF(OR(M34="nio",M34="eigen dienst"),0,IF(M34&gt;0,M34*K34/O34,0))*VLOOKUP(B34,'2-Kosten per locatie'!$A$14:$C$33,3,FALSE)</f>
        <v>0</v>
      </c>
      <c r="O34" s="300">
        <f>IF(OR(M34="nio",M34="eigen dienst"),0,IF(M34&gt;0,VLOOKUP(H34,'3-Productie normen'!A:J,VLOOKUP(M34,'3-Productie normen'!$B$34:$C$35,2,FALSE),FALSE)))</f>
        <v>0</v>
      </c>
      <c r="P34" s="301">
        <f>VLOOKUP(H34,'3-Productie normen'!A:L,12,FALSE)</f>
        <v>0</v>
      </c>
      <c r="Q34" s="301"/>
      <c r="S34" s="302">
        <f t="shared" si="1"/>
        <v>0</v>
      </c>
    </row>
    <row r="35" spans="1:19" ht="14.15" customHeight="1">
      <c r="A35" s="71">
        <v>35</v>
      </c>
      <c r="B35" s="67" t="s">
        <v>204</v>
      </c>
      <c r="C35" s="467" t="s">
        <v>613</v>
      </c>
      <c r="D35" s="467" t="s">
        <v>720</v>
      </c>
      <c r="E35" s="67" t="s">
        <v>713</v>
      </c>
      <c r="F35" s="67" t="s">
        <v>295</v>
      </c>
      <c r="G35" s="67" t="s">
        <v>516</v>
      </c>
      <c r="H35" s="67" t="s">
        <v>35</v>
      </c>
      <c r="I35" s="67" t="s">
        <v>202</v>
      </c>
      <c r="J35" s="67" t="s">
        <v>200</v>
      </c>
      <c r="K35" s="67">
        <v>15</v>
      </c>
      <c r="L35" s="299">
        <f t="shared" si="0"/>
        <v>200</v>
      </c>
      <c r="M35" s="221">
        <v>200</v>
      </c>
      <c r="N35" s="220" t="e">
        <f>IF(OR(M35="nio",M35="eigen dienst"),0,IF(M35&gt;0,M35*K35/O35,0))*VLOOKUP(B35,'2-Kosten per locatie'!$A$14:$C$33,3,FALSE)</f>
        <v>#DIV/0!</v>
      </c>
      <c r="O35" s="300">
        <f>IF(OR(M35="nio",M35="eigen dienst"),0,IF(M35&gt;0,VLOOKUP(H35,'3-Productie normen'!A:J,VLOOKUP(M35,'3-Productie normen'!$B$34:$C$35,2,FALSE),FALSE)))</f>
        <v>0</v>
      </c>
      <c r="P35" s="301" t="str">
        <f>VLOOKUP(H35,'3-Productie normen'!A:L,12,FALSE)</f>
        <v>B</v>
      </c>
      <c r="Q35" s="301"/>
      <c r="S35" s="302">
        <f t="shared" si="1"/>
        <v>3000</v>
      </c>
    </row>
    <row r="36" spans="1:19" ht="14.15" customHeight="1">
      <c r="A36" s="71">
        <v>36</v>
      </c>
      <c r="B36" s="67" t="s">
        <v>204</v>
      </c>
      <c r="C36" s="467" t="s">
        <v>613</v>
      </c>
      <c r="D36" s="467" t="s">
        <v>720</v>
      </c>
      <c r="E36" s="67" t="s">
        <v>713</v>
      </c>
      <c r="F36" s="67" t="s">
        <v>296</v>
      </c>
      <c r="G36" s="67" t="s">
        <v>516</v>
      </c>
      <c r="H36" s="67" t="s">
        <v>35</v>
      </c>
      <c r="I36" s="67" t="s">
        <v>202</v>
      </c>
      <c r="J36" s="67" t="s">
        <v>200</v>
      </c>
      <c r="K36" s="67">
        <v>15</v>
      </c>
      <c r="L36" s="299">
        <f t="shared" si="0"/>
        <v>200</v>
      </c>
      <c r="M36" s="221">
        <v>200</v>
      </c>
      <c r="N36" s="220" t="e">
        <f>IF(OR(M36="nio",M36="eigen dienst"),0,IF(M36&gt;0,M36*K36/O36,0))*VLOOKUP(B36,'2-Kosten per locatie'!$A$14:$C$33,3,FALSE)</f>
        <v>#DIV/0!</v>
      </c>
      <c r="O36" s="300">
        <f>IF(OR(M36="nio",M36="eigen dienst"),0,IF(M36&gt;0,VLOOKUP(H36,'3-Productie normen'!A:J,VLOOKUP(M36,'3-Productie normen'!$B$34:$C$35,2,FALSE),FALSE)))</f>
        <v>0</v>
      </c>
      <c r="P36" s="301" t="str">
        <f>VLOOKUP(H36,'3-Productie normen'!A:L,12,FALSE)</f>
        <v>B</v>
      </c>
      <c r="Q36" s="301"/>
      <c r="S36" s="302">
        <f t="shared" si="1"/>
        <v>3000</v>
      </c>
    </row>
    <row r="37" spans="1:19" ht="14.15" customHeight="1">
      <c r="A37" s="71">
        <v>37</v>
      </c>
      <c r="B37" s="67" t="s">
        <v>204</v>
      </c>
      <c r="C37" s="467" t="s">
        <v>613</v>
      </c>
      <c r="D37" s="467" t="s">
        <v>720</v>
      </c>
      <c r="E37" s="67" t="s">
        <v>713</v>
      </c>
      <c r="F37" s="67" t="s">
        <v>297</v>
      </c>
      <c r="G37" s="67" t="s">
        <v>515</v>
      </c>
      <c r="H37" s="67" t="s">
        <v>609</v>
      </c>
      <c r="I37" s="67" t="s">
        <v>202</v>
      </c>
      <c r="J37" s="67" t="s">
        <v>200</v>
      </c>
      <c r="K37" s="67">
        <v>40</v>
      </c>
      <c r="L37" s="299">
        <f t="shared" si="0"/>
        <v>200</v>
      </c>
      <c r="M37" s="221">
        <v>200</v>
      </c>
      <c r="N37" s="220" t="e">
        <f>IF(OR(M37="nio",M37="eigen dienst"),0,IF(M37&gt;0,M37*K37/O37,0))*VLOOKUP(B37,'2-Kosten per locatie'!$A$14:$C$33,3,FALSE)</f>
        <v>#DIV/0!</v>
      </c>
      <c r="O37" s="300">
        <f>IF(OR(M37="nio",M37="eigen dienst"),0,IF(M37&gt;0,VLOOKUP(H37,'3-Productie normen'!A:J,VLOOKUP(M37,'3-Productie normen'!$B$34:$C$35,2,FALSE),FALSE)))</f>
        <v>0</v>
      </c>
      <c r="P37" s="301" t="str">
        <f>VLOOKUP(H37,'3-Productie normen'!A:L,12,FALSE)</f>
        <v>L</v>
      </c>
      <c r="Q37" s="301"/>
      <c r="S37" s="302">
        <f t="shared" si="1"/>
        <v>8000</v>
      </c>
    </row>
    <row r="38" spans="1:19" ht="14.15" customHeight="1">
      <c r="A38" s="71">
        <v>38</v>
      </c>
      <c r="B38" s="67" t="s">
        <v>204</v>
      </c>
      <c r="C38" s="467" t="s">
        <v>613</v>
      </c>
      <c r="D38" s="467" t="s">
        <v>720</v>
      </c>
      <c r="E38" s="67" t="s">
        <v>713</v>
      </c>
      <c r="F38" s="67" t="s">
        <v>298</v>
      </c>
      <c r="G38" s="67" t="s">
        <v>528</v>
      </c>
      <c r="H38" s="67" t="s">
        <v>630</v>
      </c>
      <c r="I38" s="67" t="s">
        <v>202</v>
      </c>
      <c r="J38" s="67" t="s">
        <v>200</v>
      </c>
      <c r="K38" s="67"/>
      <c r="L38" s="299">
        <f t="shared" si="0"/>
        <v>0</v>
      </c>
      <c r="M38" s="221" t="s">
        <v>629</v>
      </c>
      <c r="N38" s="220">
        <f>IF(OR(M38="nio",M38="eigen dienst"),0,IF(M38&gt;0,M38*K38/O38,0))*VLOOKUP(B38,'2-Kosten per locatie'!$A$14:$C$33,3,FALSE)</f>
        <v>0</v>
      </c>
      <c r="O38" s="300">
        <f>IF(OR(M38="nio",M38="eigen dienst"),0,IF(M38&gt;0,VLOOKUP(H38,'3-Productie normen'!A:J,VLOOKUP(M38,'3-Productie normen'!$B$34:$C$35,2,FALSE),FALSE)))</f>
        <v>0</v>
      </c>
      <c r="P38" s="301">
        <f>VLOOKUP(H38,'3-Productie normen'!A:L,12,FALSE)</f>
        <v>0</v>
      </c>
      <c r="Q38" s="301"/>
      <c r="S38" s="302">
        <f t="shared" si="1"/>
        <v>0</v>
      </c>
    </row>
    <row r="39" spans="1:19" ht="14.15" customHeight="1">
      <c r="A39" s="71">
        <v>39</v>
      </c>
      <c r="B39" s="67" t="s">
        <v>204</v>
      </c>
      <c r="C39" s="467" t="s">
        <v>613</v>
      </c>
      <c r="D39" s="467" t="s">
        <v>720</v>
      </c>
      <c r="E39" s="67" t="s">
        <v>713</v>
      </c>
      <c r="F39" s="67" t="s">
        <v>299</v>
      </c>
      <c r="G39" s="67" t="s">
        <v>515</v>
      </c>
      <c r="H39" s="67" t="s">
        <v>609</v>
      </c>
      <c r="I39" s="67" t="s">
        <v>202</v>
      </c>
      <c r="J39" s="67" t="s">
        <v>200</v>
      </c>
      <c r="K39" s="67">
        <v>40</v>
      </c>
      <c r="L39" s="299">
        <f t="shared" si="0"/>
        <v>200</v>
      </c>
      <c r="M39" s="221">
        <v>200</v>
      </c>
      <c r="N39" s="220" t="e">
        <f>IF(OR(M39="nio",M39="eigen dienst"),0,IF(M39&gt;0,M39*K39/O39,0))*VLOOKUP(B39,'2-Kosten per locatie'!$A$14:$C$33,3,FALSE)</f>
        <v>#DIV/0!</v>
      </c>
      <c r="O39" s="300">
        <f>IF(OR(M39="nio",M39="eigen dienst"),0,IF(M39&gt;0,VLOOKUP(H39,'3-Productie normen'!A:J,VLOOKUP(M39,'3-Productie normen'!$B$34:$C$35,2,FALSE),FALSE)))</f>
        <v>0</v>
      </c>
      <c r="P39" s="301" t="str">
        <f>VLOOKUP(H39,'3-Productie normen'!A:L,12,FALSE)</f>
        <v>L</v>
      </c>
      <c r="Q39" s="301"/>
      <c r="S39" s="302">
        <f t="shared" si="1"/>
        <v>8000</v>
      </c>
    </row>
    <row r="40" spans="1:19" ht="14.15" customHeight="1">
      <c r="A40" s="71">
        <v>40</v>
      </c>
      <c r="B40" s="67" t="s">
        <v>204</v>
      </c>
      <c r="C40" s="467" t="s">
        <v>613</v>
      </c>
      <c r="D40" s="467" t="s">
        <v>720</v>
      </c>
      <c r="E40" s="67" t="s">
        <v>713</v>
      </c>
      <c r="F40" s="67" t="s">
        <v>300</v>
      </c>
      <c r="G40" s="67" t="s">
        <v>524</v>
      </c>
      <c r="H40" s="67" t="s">
        <v>609</v>
      </c>
      <c r="I40" s="67" t="s">
        <v>202</v>
      </c>
      <c r="J40" s="67" t="s">
        <v>200</v>
      </c>
      <c r="K40" s="67">
        <v>123</v>
      </c>
      <c r="L40" s="299">
        <f t="shared" si="0"/>
        <v>200</v>
      </c>
      <c r="M40" s="221">
        <v>200</v>
      </c>
      <c r="N40" s="220" t="e">
        <f>IF(OR(M40="nio",M40="eigen dienst"),0,IF(M40&gt;0,M40*K40/O40,0))*VLOOKUP(B40,'2-Kosten per locatie'!$A$14:$C$33,3,FALSE)</f>
        <v>#DIV/0!</v>
      </c>
      <c r="O40" s="300">
        <f>IF(OR(M40="nio",M40="eigen dienst"),0,IF(M40&gt;0,VLOOKUP(H40,'3-Productie normen'!A:J,VLOOKUP(M40,'3-Productie normen'!$B$34:$C$35,2,FALSE),FALSE)))</f>
        <v>0</v>
      </c>
      <c r="P40" s="301" t="str">
        <f>VLOOKUP(H40,'3-Productie normen'!A:L,12,FALSE)</f>
        <v>L</v>
      </c>
      <c r="Q40" s="301"/>
      <c r="S40" s="302">
        <f t="shared" si="1"/>
        <v>24600</v>
      </c>
    </row>
    <row r="41" spans="1:19" ht="14.15" customHeight="1">
      <c r="A41" s="71">
        <v>41</v>
      </c>
      <c r="B41" s="67" t="s">
        <v>204</v>
      </c>
      <c r="C41" s="467" t="s">
        <v>613</v>
      </c>
      <c r="D41" s="467" t="s">
        <v>720</v>
      </c>
      <c r="E41" s="67" t="s">
        <v>714</v>
      </c>
      <c r="F41" s="67" t="s">
        <v>301</v>
      </c>
      <c r="G41" s="67" t="s">
        <v>515</v>
      </c>
      <c r="H41" s="67" t="s">
        <v>609</v>
      </c>
      <c r="I41" s="67" t="s">
        <v>202</v>
      </c>
      <c r="J41" s="67" t="s">
        <v>200</v>
      </c>
      <c r="K41" s="67">
        <v>47</v>
      </c>
      <c r="L41" s="299">
        <f t="shared" si="0"/>
        <v>200</v>
      </c>
      <c r="M41" s="221">
        <v>200</v>
      </c>
      <c r="N41" s="220" t="e">
        <f>IF(OR(M41="nio",M41="eigen dienst"),0,IF(M41&gt;0,M41*K41/O41,0))*VLOOKUP(B41,'2-Kosten per locatie'!$A$14:$C$33,3,FALSE)</f>
        <v>#DIV/0!</v>
      </c>
      <c r="O41" s="300">
        <f>IF(OR(M41="nio",M41="eigen dienst"),0,IF(M41&gt;0,VLOOKUP(H41,'3-Productie normen'!A:J,VLOOKUP(M41,'3-Productie normen'!$B$34:$C$35,2,FALSE),FALSE)))</f>
        <v>0</v>
      </c>
      <c r="P41" s="301" t="str">
        <f>VLOOKUP(H41,'3-Productie normen'!A:L,12,FALSE)</f>
        <v>L</v>
      </c>
      <c r="Q41" s="301"/>
      <c r="S41" s="302">
        <f t="shared" si="1"/>
        <v>9400</v>
      </c>
    </row>
    <row r="42" spans="1:19" ht="14.15" customHeight="1">
      <c r="A42" s="71">
        <v>42</v>
      </c>
      <c r="B42" s="67" t="s">
        <v>204</v>
      </c>
      <c r="C42" s="467" t="s">
        <v>613</v>
      </c>
      <c r="D42" s="467" t="s">
        <v>720</v>
      </c>
      <c r="E42" s="67" t="s">
        <v>714</v>
      </c>
      <c r="F42" s="67" t="s">
        <v>302</v>
      </c>
      <c r="G42" s="67" t="s">
        <v>515</v>
      </c>
      <c r="H42" s="67" t="s">
        <v>609</v>
      </c>
      <c r="I42" s="67" t="s">
        <v>202</v>
      </c>
      <c r="J42" s="67" t="s">
        <v>200</v>
      </c>
      <c r="K42" s="67">
        <v>48</v>
      </c>
      <c r="L42" s="299">
        <f t="shared" si="0"/>
        <v>200</v>
      </c>
      <c r="M42" s="221">
        <v>200</v>
      </c>
      <c r="N42" s="220" t="e">
        <f>IF(OR(M42="nio",M42="eigen dienst"),0,IF(M42&gt;0,M42*K42/O42,0))*VLOOKUP(B42,'2-Kosten per locatie'!$A$14:$C$33,3,FALSE)</f>
        <v>#DIV/0!</v>
      </c>
      <c r="O42" s="300">
        <f>IF(OR(M42="nio",M42="eigen dienst"),0,IF(M42&gt;0,VLOOKUP(H42,'3-Productie normen'!A:J,VLOOKUP(M42,'3-Productie normen'!$B$34:$C$35,2,FALSE),FALSE)))</f>
        <v>0</v>
      </c>
      <c r="P42" s="301" t="str">
        <f>VLOOKUP(H42,'3-Productie normen'!A:L,12,FALSE)</f>
        <v>L</v>
      </c>
      <c r="Q42" s="301"/>
      <c r="S42" s="302">
        <f t="shared" si="1"/>
        <v>9600</v>
      </c>
    </row>
    <row r="43" spans="1:19" ht="14.15" customHeight="1">
      <c r="A43" s="71">
        <v>43</v>
      </c>
      <c r="B43" s="67" t="s">
        <v>204</v>
      </c>
      <c r="C43" s="467" t="s">
        <v>613</v>
      </c>
      <c r="D43" s="467" t="s">
        <v>720</v>
      </c>
      <c r="E43" s="67" t="s">
        <v>714</v>
      </c>
      <c r="F43" s="67" t="s">
        <v>303</v>
      </c>
      <c r="G43" s="67" t="s">
        <v>524</v>
      </c>
      <c r="H43" s="67" t="s">
        <v>609</v>
      </c>
      <c r="I43" s="67" t="s">
        <v>202</v>
      </c>
      <c r="J43" s="67" t="s">
        <v>200</v>
      </c>
      <c r="K43" s="67">
        <v>132</v>
      </c>
      <c r="L43" s="299">
        <f t="shared" si="0"/>
        <v>200</v>
      </c>
      <c r="M43" s="221">
        <v>200</v>
      </c>
      <c r="N43" s="220" t="e">
        <f>IF(OR(M43="nio",M43="eigen dienst"),0,IF(M43&gt;0,M43*K43/O43,0))*VLOOKUP(B43,'2-Kosten per locatie'!$A$14:$C$33,3,FALSE)</f>
        <v>#DIV/0!</v>
      </c>
      <c r="O43" s="300">
        <f>IF(OR(M43="nio",M43="eigen dienst"),0,IF(M43&gt;0,VLOOKUP(H43,'3-Productie normen'!A:J,VLOOKUP(M43,'3-Productie normen'!$B$34:$C$35,2,FALSE),FALSE)))</f>
        <v>0</v>
      </c>
      <c r="P43" s="301" t="str">
        <f>VLOOKUP(H43,'3-Productie normen'!A:L,12,FALSE)</f>
        <v>L</v>
      </c>
      <c r="Q43" s="301"/>
      <c r="S43" s="302">
        <f t="shared" si="1"/>
        <v>26400</v>
      </c>
    </row>
    <row r="44" spans="1:19" ht="14.15" customHeight="1">
      <c r="A44" s="71">
        <v>44</v>
      </c>
      <c r="B44" s="67" t="s">
        <v>204</v>
      </c>
      <c r="C44" s="467" t="s">
        <v>613</v>
      </c>
      <c r="D44" s="467" t="s">
        <v>720</v>
      </c>
      <c r="E44" s="67" t="s">
        <v>714</v>
      </c>
      <c r="F44" s="67" t="s">
        <v>304</v>
      </c>
      <c r="G44" s="67" t="s">
        <v>529</v>
      </c>
      <c r="H44" s="67" t="s">
        <v>630</v>
      </c>
      <c r="I44" s="67" t="s">
        <v>598</v>
      </c>
      <c r="J44" s="67" t="s">
        <v>200</v>
      </c>
      <c r="K44" s="67"/>
      <c r="L44" s="299">
        <f t="shared" si="0"/>
        <v>0</v>
      </c>
      <c r="M44" s="221" t="s">
        <v>629</v>
      </c>
      <c r="N44" s="220">
        <f>IF(OR(M44="nio",M44="eigen dienst"),0,IF(M44&gt;0,M44*K44/O44,0))*VLOOKUP(B44,'2-Kosten per locatie'!$A$14:$C$33,3,FALSE)</f>
        <v>0</v>
      </c>
      <c r="O44" s="300">
        <f>IF(OR(M44="nio",M44="eigen dienst"),0,IF(M44&gt;0,VLOOKUP(H44,'3-Productie normen'!A:J,VLOOKUP(M44,'3-Productie normen'!$B$34:$C$35,2,FALSE),FALSE)))</f>
        <v>0</v>
      </c>
      <c r="P44" s="301">
        <f>VLOOKUP(H44,'3-Productie normen'!A:L,12,FALSE)</f>
        <v>0</v>
      </c>
      <c r="Q44" s="301"/>
      <c r="S44" s="302">
        <f t="shared" si="1"/>
        <v>0</v>
      </c>
    </row>
    <row r="45" spans="1:19" ht="14.15" customHeight="1">
      <c r="A45" s="71">
        <v>45</v>
      </c>
      <c r="B45" s="67" t="s">
        <v>204</v>
      </c>
      <c r="C45" s="467" t="s">
        <v>613</v>
      </c>
      <c r="D45" s="467" t="s">
        <v>720</v>
      </c>
      <c r="E45" s="67" t="s">
        <v>714</v>
      </c>
      <c r="F45" s="67" t="s">
        <v>305</v>
      </c>
      <c r="G45" s="67" t="s">
        <v>515</v>
      </c>
      <c r="H45" s="67" t="s">
        <v>609</v>
      </c>
      <c r="I45" s="67" t="s">
        <v>202</v>
      </c>
      <c r="J45" s="67" t="s">
        <v>200</v>
      </c>
      <c r="K45" s="67">
        <v>46</v>
      </c>
      <c r="L45" s="299">
        <f t="shared" si="0"/>
        <v>200</v>
      </c>
      <c r="M45" s="221">
        <v>200</v>
      </c>
      <c r="N45" s="220" t="e">
        <f>IF(OR(M45="nio",M45="eigen dienst"),0,IF(M45&gt;0,M45*K45/O45,0))*VLOOKUP(B45,'2-Kosten per locatie'!$A$14:$C$33,3,FALSE)</f>
        <v>#DIV/0!</v>
      </c>
      <c r="O45" s="300">
        <f>IF(OR(M45="nio",M45="eigen dienst"),0,IF(M45&gt;0,VLOOKUP(H45,'3-Productie normen'!A:J,VLOOKUP(M45,'3-Productie normen'!$B$34:$C$35,2,FALSE),FALSE)))</f>
        <v>0</v>
      </c>
      <c r="P45" s="301" t="str">
        <f>VLOOKUP(H45,'3-Productie normen'!A:L,12,FALSE)</f>
        <v>L</v>
      </c>
      <c r="Q45" s="301"/>
      <c r="S45" s="302">
        <f t="shared" si="1"/>
        <v>9200</v>
      </c>
    </row>
    <row r="46" spans="1:19" ht="14.15" customHeight="1">
      <c r="A46" s="71">
        <v>46</v>
      </c>
      <c r="B46" s="67" t="s">
        <v>204</v>
      </c>
      <c r="C46" s="467" t="s">
        <v>613</v>
      </c>
      <c r="D46" s="467" t="s">
        <v>720</v>
      </c>
      <c r="E46" s="67" t="s">
        <v>714</v>
      </c>
      <c r="F46" s="67" t="s">
        <v>306</v>
      </c>
      <c r="G46" s="67" t="s">
        <v>515</v>
      </c>
      <c r="H46" s="67" t="s">
        <v>609</v>
      </c>
      <c r="I46" s="67" t="s">
        <v>202</v>
      </c>
      <c r="J46" s="67" t="s">
        <v>200</v>
      </c>
      <c r="K46" s="67">
        <v>43</v>
      </c>
      <c r="L46" s="299">
        <f t="shared" si="0"/>
        <v>200</v>
      </c>
      <c r="M46" s="221">
        <v>200</v>
      </c>
      <c r="N46" s="220" t="e">
        <f>IF(OR(M46="nio",M46="eigen dienst"),0,IF(M46&gt;0,M46*K46/O46,0))*VLOOKUP(B46,'2-Kosten per locatie'!$A$14:$C$33,3,FALSE)</f>
        <v>#DIV/0!</v>
      </c>
      <c r="O46" s="300">
        <f>IF(OR(M46="nio",M46="eigen dienst"),0,IF(M46&gt;0,VLOOKUP(H46,'3-Productie normen'!A:J,VLOOKUP(M46,'3-Productie normen'!$B$34:$C$35,2,FALSE),FALSE)))</f>
        <v>0</v>
      </c>
      <c r="P46" s="301" t="str">
        <f>VLOOKUP(H46,'3-Productie normen'!A:L,12,FALSE)</f>
        <v>L</v>
      </c>
      <c r="Q46" s="301"/>
      <c r="S46" s="302">
        <f t="shared" si="1"/>
        <v>8600</v>
      </c>
    </row>
    <row r="47" spans="1:19" ht="14.15" customHeight="1">
      <c r="A47" s="71">
        <v>47</v>
      </c>
      <c r="B47" s="67" t="s">
        <v>204</v>
      </c>
      <c r="C47" s="467" t="s">
        <v>613</v>
      </c>
      <c r="D47" s="467" t="s">
        <v>720</v>
      </c>
      <c r="E47" s="67" t="s">
        <v>714</v>
      </c>
      <c r="F47" s="67" t="s">
        <v>307</v>
      </c>
      <c r="G47" s="67" t="s">
        <v>515</v>
      </c>
      <c r="H47" s="67" t="s">
        <v>609</v>
      </c>
      <c r="I47" s="67" t="s">
        <v>202</v>
      </c>
      <c r="J47" s="67" t="s">
        <v>200</v>
      </c>
      <c r="K47" s="67">
        <v>43</v>
      </c>
      <c r="L47" s="299">
        <f t="shared" si="0"/>
        <v>200</v>
      </c>
      <c r="M47" s="221">
        <v>200</v>
      </c>
      <c r="N47" s="220" t="e">
        <f>IF(OR(M47="nio",M47="eigen dienst"),0,IF(M47&gt;0,M47*K47/O47,0))*VLOOKUP(B47,'2-Kosten per locatie'!$A$14:$C$33,3,FALSE)</f>
        <v>#DIV/0!</v>
      </c>
      <c r="O47" s="300">
        <f>IF(OR(M47="nio",M47="eigen dienst"),0,IF(M47&gt;0,VLOOKUP(H47,'3-Productie normen'!A:J,VLOOKUP(M47,'3-Productie normen'!$B$34:$C$35,2,FALSE),FALSE)))</f>
        <v>0</v>
      </c>
      <c r="P47" s="301" t="str">
        <f>VLOOKUP(H47,'3-Productie normen'!A:L,12,FALSE)</f>
        <v>L</v>
      </c>
      <c r="Q47" s="301"/>
      <c r="S47" s="302">
        <f t="shared" si="1"/>
        <v>8600</v>
      </c>
    </row>
    <row r="48" spans="1:19" ht="14.15" customHeight="1">
      <c r="A48" s="71">
        <v>48</v>
      </c>
      <c r="B48" s="67" t="s">
        <v>204</v>
      </c>
      <c r="C48" s="467" t="s">
        <v>613</v>
      </c>
      <c r="D48" s="467" t="s">
        <v>720</v>
      </c>
      <c r="E48" s="67" t="s">
        <v>714</v>
      </c>
      <c r="F48" s="67" t="s">
        <v>308</v>
      </c>
      <c r="G48" s="67" t="s">
        <v>515</v>
      </c>
      <c r="H48" s="67" t="s">
        <v>609</v>
      </c>
      <c r="I48" s="67" t="s">
        <v>202</v>
      </c>
      <c r="J48" s="67" t="s">
        <v>200</v>
      </c>
      <c r="K48" s="67">
        <v>44</v>
      </c>
      <c r="L48" s="299">
        <f t="shared" si="0"/>
        <v>200</v>
      </c>
      <c r="M48" s="221">
        <v>200</v>
      </c>
      <c r="N48" s="220" t="e">
        <f>IF(OR(M48="nio",M48="eigen dienst"),0,IF(M48&gt;0,M48*K48/O48,0))*VLOOKUP(B48,'2-Kosten per locatie'!$A$14:$C$33,3,FALSE)</f>
        <v>#DIV/0!</v>
      </c>
      <c r="O48" s="300">
        <f>IF(OR(M48="nio",M48="eigen dienst"),0,IF(M48&gt;0,VLOOKUP(H48,'3-Productie normen'!A:J,VLOOKUP(M48,'3-Productie normen'!$B$34:$C$35,2,FALSE),FALSE)))</f>
        <v>0</v>
      </c>
      <c r="P48" s="301" t="str">
        <f>VLOOKUP(H48,'3-Productie normen'!A:L,12,FALSE)</f>
        <v>L</v>
      </c>
      <c r="Q48" s="301"/>
      <c r="S48" s="302">
        <f t="shared" si="1"/>
        <v>8800</v>
      </c>
    </row>
    <row r="49" spans="1:19" ht="14.15" customHeight="1">
      <c r="A49" s="71">
        <v>49</v>
      </c>
      <c r="B49" s="67" t="s">
        <v>204</v>
      </c>
      <c r="C49" s="467" t="s">
        <v>613</v>
      </c>
      <c r="D49" s="467" t="s">
        <v>720</v>
      </c>
      <c r="E49" s="67" t="s">
        <v>714</v>
      </c>
      <c r="F49" s="67" t="s">
        <v>309</v>
      </c>
      <c r="G49" s="67" t="s">
        <v>524</v>
      </c>
      <c r="H49" s="67" t="s">
        <v>609</v>
      </c>
      <c r="I49" s="67" t="s">
        <v>202</v>
      </c>
      <c r="J49" s="67" t="s">
        <v>200</v>
      </c>
      <c r="K49" s="67">
        <v>91</v>
      </c>
      <c r="L49" s="299">
        <f t="shared" si="0"/>
        <v>200</v>
      </c>
      <c r="M49" s="221">
        <v>200</v>
      </c>
      <c r="N49" s="220" t="e">
        <f>IF(OR(M49="nio",M49="eigen dienst"),0,IF(M49&gt;0,M49*K49/O49,0))*VLOOKUP(B49,'2-Kosten per locatie'!$A$14:$C$33,3,FALSE)</f>
        <v>#DIV/0!</v>
      </c>
      <c r="O49" s="300">
        <f>IF(OR(M49="nio",M49="eigen dienst"),0,IF(M49&gt;0,VLOOKUP(H49,'3-Productie normen'!A:J,VLOOKUP(M49,'3-Productie normen'!$B$34:$C$35,2,FALSE),FALSE)))</f>
        <v>0</v>
      </c>
      <c r="P49" s="301" t="str">
        <f>VLOOKUP(H49,'3-Productie normen'!A:L,12,FALSE)</f>
        <v>L</v>
      </c>
      <c r="Q49" s="301"/>
      <c r="S49" s="302">
        <f t="shared" si="1"/>
        <v>18200</v>
      </c>
    </row>
    <row r="50" spans="1:19" ht="14.15" customHeight="1">
      <c r="A50" s="71">
        <v>50</v>
      </c>
      <c r="B50" s="67" t="s">
        <v>204</v>
      </c>
      <c r="C50" s="467" t="s">
        <v>613</v>
      </c>
      <c r="D50" s="467" t="s">
        <v>720</v>
      </c>
      <c r="E50" s="67" t="s">
        <v>714</v>
      </c>
      <c r="F50" s="67" t="s">
        <v>310</v>
      </c>
      <c r="G50" s="67" t="s">
        <v>512</v>
      </c>
      <c r="H50" s="67" t="s">
        <v>39</v>
      </c>
      <c r="I50" s="67" t="s">
        <v>202</v>
      </c>
      <c r="J50" s="67" t="s">
        <v>200</v>
      </c>
      <c r="K50" s="67">
        <v>73</v>
      </c>
      <c r="L50" s="299">
        <f t="shared" si="0"/>
        <v>200</v>
      </c>
      <c r="M50" s="221">
        <v>200</v>
      </c>
      <c r="N50" s="220" t="e">
        <f>IF(OR(M50="nio",M50="eigen dienst"),0,IF(M50&gt;0,M50*K50/O50,0))*VLOOKUP(B50,'2-Kosten per locatie'!$A$14:$C$33,3,FALSE)</f>
        <v>#DIV/0!</v>
      </c>
      <c r="O50" s="300">
        <f>IF(OR(M50="nio",M50="eigen dienst"),0,IF(M50&gt;0,VLOOKUP(H50,'3-Productie normen'!A:J,VLOOKUP(M50,'3-Productie normen'!$B$34:$C$35,2,FALSE),FALSE)))</f>
        <v>0</v>
      </c>
      <c r="P50" s="301" t="str">
        <f>VLOOKUP(H50,'3-Productie normen'!A:L,12,FALSE)</f>
        <v>V</v>
      </c>
      <c r="Q50" s="301"/>
      <c r="S50" s="302">
        <f t="shared" si="1"/>
        <v>14600</v>
      </c>
    </row>
    <row r="51" spans="1:19" ht="14.15" customHeight="1">
      <c r="A51" s="71">
        <v>51</v>
      </c>
      <c r="B51" s="67" t="s">
        <v>204</v>
      </c>
      <c r="C51" s="467" t="s">
        <v>613</v>
      </c>
      <c r="D51" s="467" t="s">
        <v>720</v>
      </c>
      <c r="E51" s="67" t="s">
        <v>714</v>
      </c>
      <c r="F51" s="67" t="s">
        <v>311</v>
      </c>
      <c r="G51" s="67" t="s">
        <v>516</v>
      </c>
      <c r="H51" s="67" t="s">
        <v>35</v>
      </c>
      <c r="I51" s="67" t="s">
        <v>202</v>
      </c>
      <c r="J51" s="67" t="s">
        <v>200</v>
      </c>
      <c r="K51" s="67">
        <v>17</v>
      </c>
      <c r="L51" s="299">
        <f t="shared" si="0"/>
        <v>200</v>
      </c>
      <c r="M51" s="221">
        <v>200</v>
      </c>
      <c r="N51" s="220" t="e">
        <f>IF(OR(M51="nio",M51="eigen dienst"),0,IF(M51&gt;0,M51*K51/O51,0))*VLOOKUP(B51,'2-Kosten per locatie'!$A$14:$C$33,3,FALSE)</f>
        <v>#DIV/0!</v>
      </c>
      <c r="O51" s="300">
        <f>IF(OR(M51="nio",M51="eigen dienst"),0,IF(M51&gt;0,VLOOKUP(H51,'3-Productie normen'!A:J,VLOOKUP(M51,'3-Productie normen'!$B$34:$C$35,2,FALSE),FALSE)))</f>
        <v>0</v>
      </c>
      <c r="P51" s="301" t="str">
        <f>VLOOKUP(H51,'3-Productie normen'!A:L,12,FALSE)</f>
        <v>B</v>
      </c>
      <c r="Q51" s="301"/>
      <c r="S51" s="302">
        <f t="shared" si="1"/>
        <v>3400</v>
      </c>
    </row>
    <row r="52" spans="1:19" ht="14.15" customHeight="1">
      <c r="A52" s="71">
        <v>52</v>
      </c>
      <c r="B52" s="67" t="s">
        <v>204</v>
      </c>
      <c r="C52" s="467" t="s">
        <v>613</v>
      </c>
      <c r="D52" s="467" t="s">
        <v>720</v>
      </c>
      <c r="E52" s="67" t="s">
        <v>714</v>
      </c>
      <c r="F52" s="67" t="s">
        <v>312</v>
      </c>
      <c r="G52" s="67" t="s">
        <v>514</v>
      </c>
      <c r="H52" s="67" t="s">
        <v>37</v>
      </c>
      <c r="I52" s="67" t="s">
        <v>601</v>
      </c>
      <c r="J52" s="67" t="s">
        <v>179</v>
      </c>
      <c r="K52" s="67">
        <v>6</v>
      </c>
      <c r="L52" s="299">
        <f t="shared" si="0"/>
        <v>200</v>
      </c>
      <c r="M52" s="221">
        <v>200</v>
      </c>
      <c r="N52" s="220" t="e">
        <f>IF(OR(M52="nio",M52="eigen dienst"),0,IF(M52&gt;0,M52*K52/O52,0))*VLOOKUP(B52,'2-Kosten per locatie'!$A$14:$C$33,3,FALSE)</f>
        <v>#DIV/0!</v>
      </c>
      <c r="O52" s="300">
        <f>IF(OR(M52="nio",M52="eigen dienst"),0,IF(M52&gt;0,VLOOKUP(H52,'3-Productie normen'!A:J,VLOOKUP(M52,'3-Productie normen'!$B$34:$C$35,2,FALSE),FALSE)))</f>
        <v>0</v>
      </c>
      <c r="P52" s="301" t="str">
        <f>VLOOKUP(H52,'3-Productie normen'!A:L,12,FALSE)</f>
        <v>S</v>
      </c>
      <c r="Q52" s="301"/>
      <c r="S52" s="302">
        <f t="shared" si="1"/>
        <v>1200</v>
      </c>
    </row>
    <row r="53" spans="1:19" ht="14.15" customHeight="1">
      <c r="A53" s="71">
        <v>53</v>
      </c>
      <c r="B53" s="67" t="s">
        <v>204</v>
      </c>
      <c r="C53" s="467" t="s">
        <v>613</v>
      </c>
      <c r="D53" s="467" t="s">
        <v>720</v>
      </c>
      <c r="E53" s="67" t="s">
        <v>714</v>
      </c>
      <c r="F53" s="67" t="s">
        <v>313</v>
      </c>
      <c r="G53" s="67" t="s">
        <v>514</v>
      </c>
      <c r="H53" s="67" t="s">
        <v>37</v>
      </c>
      <c r="I53" s="67" t="s">
        <v>601</v>
      </c>
      <c r="J53" s="67" t="s">
        <v>179</v>
      </c>
      <c r="K53" s="67">
        <v>6</v>
      </c>
      <c r="L53" s="299">
        <f t="shared" si="0"/>
        <v>200</v>
      </c>
      <c r="M53" s="221">
        <v>200</v>
      </c>
      <c r="N53" s="220" t="e">
        <f>IF(OR(M53="nio",M53="eigen dienst"),0,IF(M53&gt;0,M53*K53/O53,0))*VLOOKUP(B53,'2-Kosten per locatie'!$A$14:$C$33,3,FALSE)</f>
        <v>#DIV/0!</v>
      </c>
      <c r="O53" s="300">
        <f>IF(OR(M53="nio",M53="eigen dienst"),0,IF(M53&gt;0,VLOOKUP(H53,'3-Productie normen'!A:J,VLOOKUP(M53,'3-Productie normen'!$B$34:$C$35,2,FALSE),FALSE)))</f>
        <v>0</v>
      </c>
      <c r="P53" s="301" t="str">
        <f>VLOOKUP(H53,'3-Productie normen'!A:L,12,FALSE)</f>
        <v>S</v>
      </c>
      <c r="Q53" s="301"/>
      <c r="S53" s="302">
        <f t="shared" si="1"/>
        <v>1200</v>
      </c>
    </row>
    <row r="54" spans="1:19" ht="14.15" customHeight="1">
      <c r="A54" s="71">
        <v>54</v>
      </c>
      <c r="B54" s="67" t="s">
        <v>204</v>
      </c>
      <c r="C54" s="467" t="s">
        <v>613</v>
      </c>
      <c r="D54" s="467" t="s">
        <v>720</v>
      </c>
      <c r="E54" s="67" t="s">
        <v>714</v>
      </c>
      <c r="F54" s="67" t="s">
        <v>314</v>
      </c>
      <c r="G54" s="67" t="s">
        <v>518</v>
      </c>
      <c r="H54" s="67" t="s">
        <v>630</v>
      </c>
      <c r="I54" s="67" t="s">
        <v>202</v>
      </c>
      <c r="J54" s="56" t="s">
        <v>200</v>
      </c>
      <c r="K54" s="67"/>
      <c r="L54" s="299">
        <f t="shared" si="0"/>
        <v>0</v>
      </c>
      <c r="M54" s="221" t="s">
        <v>629</v>
      </c>
      <c r="N54" s="220">
        <f>IF(OR(M54="nio",M54="eigen dienst"),0,IF(M54&gt;0,M54*K54/O54,0))*VLOOKUP(B54,'2-Kosten per locatie'!$A$14:$C$33,3,FALSE)</f>
        <v>0</v>
      </c>
      <c r="O54" s="300">
        <f>IF(OR(M54="nio",M54="eigen dienst"),0,IF(M54&gt;0,VLOOKUP(H54,'3-Productie normen'!A:J,VLOOKUP(M54,'3-Productie normen'!$B$34:$C$35,2,FALSE),FALSE)))</f>
        <v>0</v>
      </c>
      <c r="P54" s="301">
        <f>VLOOKUP(H54,'3-Productie normen'!A:L,12,FALSE)</f>
        <v>0</v>
      </c>
      <c r="Q54" s="301"/>
      <c r="S54" s="302">
        <f t="shared" si="1"/>
        <v>0</v>
      </c>
    </row>
    <row r="55" spans="1:19" ht="14.15" customHeight="1">
      <c r="A55" s="71">
        <v>55</v>
      </c>
      <c r="B55" s="67" t="s">
        <v>204</v>
      </c>
      <c r="C55" s="467" t="s">
        <v>613</v>
      </c>
      <c r="D55" s="467" t="s">
        <v>720</v>
      </c>
      <c r="E55" s="67" t="s">
        <v>714</v>
      </c>
      <c r="F55" s="67" t="s">
        <v>315</v>
      </c>
      <c r="G55" s="67" t="s">
        <v>514</v>
      </c>
      <c r="H55" s="67" t="s">
        <v>37</v>
      </c>
      <c r="I55" s="67" t="s">
        <v>601</v>
      </c>
      <c r="J55" s="67" t="s">
        <v>179</v>
      </c>
      <c r="K55" s="67">
        <v>6</v>
      </c>
      <c r="L55" s="299">
        <f t="shared" si="0"/>
        <v>200</v>
      </c>
      <c r="M55" s="221">
        <v>200</v>
      </c>
      <c r="N55" s="220" t="e">
        <f>IF(OR(M55="nio",M55="eigen dienst"),0,IF(M55&gt;0,M55*K55/O55,0))*VLOOKUP(B55,'2-Kosten per locatie'!$A$14:$C$33,3,FALSE)</f>
        <v>#DIV/0!</v>
      </c>
      <c r="O55" s="300">
        <f>IF(OR(M55="nio",M55="eigen dienst"),0,IF(M55&gt;0,VLOOKUP(H55,'3-Productie normen'!A:J,VLOOKUP(M55,'3-Productie normen'!$B$34:$C$35,2,FALSE),FALSE)))</f>
        <v>0</v>
      </c>
      <c r="P55" s="301" t="str">
        <f>VLOOKUP(H55,'3-Productie normen'!A:L,12,FALSE)</f>
        <v>S</v>
      </c>
      <c r="Q55" s="301"/>
      <c r="S55" s="302">
        <f t="shared" si="1"/>
        <v>1200</v>
      </c>
    </row>
    <row r="56" spans="1:19" ht="14.15" customHeight="1">
      <c r="A56" s="71">
        <v>56</v>
      </c>
      <c r="B56" s="67" t="s">
        <v>204</v>
      </c>
      <c r="C56" s="467" t="s">
        <v>613</v>
      </c>
      <c r="D56" s="467" t="s">
        <v>720</v>
      </c>
      <c r="E56" s="67" t="s">
        <v>714</v>
      </c>
      <c r="F56" s="67" t="s">
        <v>316</v>
      </c>
      <c r="G56" s="67" t="s">
        <v>514</v>
      </c>
      <c r="H56" s="67" t="s">
        <v>37</v>
      </c>
      <c r="I56" s="67" t="s">
        <v>601</v>
      </c>
      <c r="J56" s="67" t="s">
        <v>179</v>
      </c>
      <c r="K56" s="67">
        <v>6</v>
      </c>
      <c r="L56" s="299">
        <f t="shared" si="0"/>
        <v>200</v>
      </c>
      <c r="M56" s="221">
        <v>200</v>
      </c>
      <c r="N56" s="220" t="e">
        <f>IF(OR(M56="nio",M56="eigen dienst"),0,IF(M56&gt;0,M56*K56/O56,0))*VLOOKUP(B56,'2-Kosten per locatie'!$A$14:$C$33,3,FALSE)</f>
        <v>#DIV/0!</v>
      </c>
      <c r="O56" s="300">
        <f>IF(OR(M56="nio",M56="eigen dienst"),0,IF(M56&gt;0,VLOOKUP(H56,'3-Productie normen'!A:J,VLOOKUP(M56,'3-Productie normen'!$B$34:$C$35,2,FALSE),FALSE)))</f>
        <v>0</v>
      </c>
      <c r="P56" s="301" t="str">
        <f>VLOOKUP(H56,'3-Productie normen'!A:L,12,FALSE)</f>
        <v>S</v>
      </c>
      <c r="Q56" s="301"/>
      <c r="S56" s="302">
        <f t="shared" si="1"/>
        <v>1200</v>
      </c>
    </row>
    <row r="57" spans="1:19" ht="14.15" customHeight="1">
      <c r="A57" s="71">
        <v>57</v>
      </c>
      <c r="B57" s="67" t="s">
        <v>204</v>
      </c>
      <c r="C57" s="467" t="s">
        <v>613</v>
      </c>
      <c r="D57" s="467" t="s">
        <v>720</v>
      </c>
      <c r="E57" s="67" t="s">
        <v>714</v>
      </c>
      <c r="F57" s="67" t="s">
        <v>317</v>
      </c>
      <c r="G57" s="67" t="s">
        <v>523</v>
      </c>
      <c r="H57" s="67" t="s">
        <v>630</v>
      </c>
      <c r="I57" s="67" t="s">
        <v>202</v>
      </c>
      <c r="J57" s="67" t="s">
        <v>200</v>
      </c>
      <c r="K57" s="67">
        <v>0</v>
      </c>
      <c r="L57" s="299">
        <f t="shared" ref="L57:L113" si="2">SUM(M57:M57)</f>
        <v>0</v>
      </c>
      <c r="M57" s="221" t="s">
        <v>629</v>
      </c>
      <c r="N57" s="220">
        <f>IF(OR(M57="nio",M57="eigen dienst"),0,IF(M57&gt;0,M57*K57/O57,0))*VLOOKUP(B57,'2-Kosten per locatie'!$A$14:$C$33,3,FALSE)</f>
        <v>0</v>
      </c>
      <c r="O57" s="300">
        <f>IF(OR(M57="nio",M57="eigen dienst"),0,IF(M57&gt;0,VLOOKUP(H57,'3-Productie normen'!A:J,VLOOKUP(M57,'3-Productie normen'!$B$34:$C$35,2,FALSE),FALSE)))</f>
        <v>0</v>
      </c>
      <c r="P57" s="301">
        <f>VLOOKUP(H57,'3-Productie normen'!A:L,12,FALSE)</f>
        <v>0</v>
      </c>
      <c r="Q57" s="301"/>
      <c r="S57" s="302">
        <f t="shared" ref="S57:S113" si="3">L57*K57</f>
        <v>0</v>
      </c>
    </row>
    <row r="58" spans="1:19" ht="14.15" customHeight="1">
      <c r="A58" s="71">
        <v>58</v>
      </c>
      <c r="B58" s="67" t="s">
        <v>204</v>
      </c>
      <c r="C58" s="467" t="s">
        <v>613</v>
      </c>
      <c r="D58" s="467" t="s">
        <v>720</v>
      </c>
      <c r="E58" s="67" t="s">
        <v>714</v>
      </c>
      <c r="F58" s="67" t="s">
        <v>318</v>
      </c>
      <c r="G58" s="67" t="s">
        <v>539</v>
      </c>
      <c r="H58" s="67" t="s">
        <v>37</v>
      </c>
      <c r="I58" s="67" t="s">
        <v>601</v>
      </c>
      <c r="J58" s="67" t="s">
        <v>179</v>
      </c>
      <c r="K58" s="67">
        <v>4</v>
      </c>
      <c r="L58" s="299">
        <f t="shared" si="2"/>
        <v>200</v>
      </c>
      <c r="M58" s="221">
        <v>200</v>
      </c>
      <c r="N58" s="220" t="e">
        <f>IF(OR(M58="nio",M58="eigen dienst"),0,IF(M58&gt;0,M58*K58/O58,0))*VLOOKUP(B58,'2-Kosten per locatie'!$A$14:$C$33,3,FALSE)</f>
        <v>#DIV/0!</v>
      </c>
      <c r="O58" s="300">
        <f>IF(OR(M58="nio",M58="eigen dienst"),0,IF(M58&gt;0,VLOOKUP(H58,'3-Productie normen'!A:J,VLOOKUP(M58,'3-Productie normen'!$B$34:$C$35,2,FALSE),FALSE)))</f>
        <v>0</v>
      </c>
      <c r="P58" s="301" t="str">
        <f>VLOOKUP(H58,'3-Productie normen'!A:L,12,FALSE)</f>
        <v>S</v>
      </c>
      <c r="Q58" s="301"/>
      <c r="S58" s="302">
        <f t="shared" si="3"/>
        <v>800</v>
      </c>
    </row>
    <row r="59" spans="1:19" ht="14.15" customHeight="1">
      <c r="A59" s="71">
        <v>59</v>
      </c>
      <c r="B59" s="67" t="s">
        <v>204</v>
      </c>
      <c r="C59" s="467" t="s">
        <v>613</v>
      </c>
      <c r="D59" s="467" t="s">
        <v>720</v>
      </c>
      <c r="E59" s="67" t="s">
        <v>714</v>
      </c>
      <c r="F59" s="67" t="s">
        <v>319</v>
      </c>
      <c r="G59" s="67" t="s">
        <v>514</v>
      </c>
      <c r="H59" s="67" t="s">
        <v>37</v>
      </c>
      <c r="I59" s="67" t="s">
        <v>601</v>
      </c>
      <c r="J59" s="67" t="s">
        <v>179</v>
      </c>
      <c r="K59" s="67">
        <v>6</v>
      </c>
      <c r="L59" s="299">
        <f t="shared" si="2"/>
        <v>0</v>
      </c>
      <c r="M59" s="221" t="s">
        <v>629</v>
      </c>
      <c r="N59" s="220">
        <f>IF(OR(M59="nio",M59="eigen dienst"),0,IF(M59&gt;0,M59*K59/O59,0))*VLOOKUP(B59,'2-Kosten per locatie'!$A$14:$C$33,3,FALSE)</f>
        <v>0</v>
      </c>
      <c r="O59" s="300">
        <f>IF(OR(M59="nio",M59="eigen dienst"),0,IF(M59&gt;0,VLOOKUP(H59,'3-Productie normen'!A:J,VLOOKUP(M59,'3-Productie normen'!$B$34:$C$35,2,FALSE),FALSE)))</f>
        <v>0</v>
      </c>
      <c r="P59" s="301" t="str">
        <f>VLOOKUP(H59,'3-Productie normen'!A:L,12,FALSE)</f>
        <v>S</v>
      </c>
      <c r="Q59" s="301"/>
      <c r="S59" s="302">
        <f t="shared" si="3"/>
        <v>0</v>
      </c>
    </row>
    <row r="60" spans="1:19" ht="14.15" customHeight="1">
      <c r="A60" s="71">
        <v>60</v>
      </c>
      <c r="B60" s="67" t="s">
        <v>204</v>
      </c>
      <c r="C60" s="467" t="s">
        <v>613</v>
      </c>
      <c r="D60" s="467" t="s">
        <v>720</v>
      </c>
      <c r="E60" s="67" t="s">
        <v>714</v>
      </c>
      <c r="F60" s="67" t="s">
        <v>320</v>
      </c>
      <c r="G60" s="67" t="s">
        <v>514</v>
      </c>
      <c r="H60" s="67" t="s">
        <v>37</v>
      </c>
      <c r="I60" s="67" t="s">
        <v>601</v>
      </c>
      <c r="J60" s="67" t="s">
        <v>179</v>
      </c>
      <c r="K60" s="67">
        <v>6</v>
      </c>
      <c r="L60" s="299">
        <f t="shared" si="2"/>
        <v>0</v>
      </c>
      <c r="M60" s="221" t="s">
        <v>629</v>
      </c>
      <c r="N60" s="220">
        <f>IF(OR(M60="nio",M60="eigen dienst"),0,IF(M60&gt;0,M60*K60/O60,0))*VLOOKUP(B60,'2-Kosten per locatie'!$A$14:$C$33,3,FALSE)</f>
        <v>0</v>
      </c>
      <c r="O60" s="300">
        <f>IF(OR(M60="nio",M60="eigen dienst"),0,IF(M60&gt;0,VLOOKUP(H60,'3-Productie normen'!A:J,VLOOKUP(M60,'3-Productie normen'!$B$34:$C$35,2,FALSE),FALSE)))</f>
        <v>0</v>
      </c>
      <c r="P60" s="301" t="str">
        <f>VLOOKUP(H60,'3-Productie normen'!A:L,12,FALSE)</f>
        <v>S</v>
      </c>
      <c r="Q60" s="301"/>
      <c r="S60" s="302">
        <f t="shared" si="3"/>
        <v>0</v>
      </c>
    </row>
    <row r="61" spans="1:19" ht="14.15" customHeight="1">
      <c r="A61" s="71">
        <v>61</v>
      </c>
      <c r="B61" s="67" t="s">
        <v>204</v>
      </c>
      <c r="C61" s="467" t="s">
        <v>613</v>
      </c>
      <c r="D61" s="467" t="s">
        <v>720</v>
      </c>
      <c r="E61" s="67" t="s">
        <v>714</v>
      </c>
      <c r="F61" s="67" t="s">
        <v>321</v>
      </c>
      <c r="G61" s="67" t="s">
        <v>518</v>
      </c>
      <c r="H61" s="67" t="s">
        <v>630</v>
      </c>
      <c r="I61" s="67" t="s">
        <v>202</v>
      </c>
      <c r="J61" s="67" t="s">
        <v>200</v>
      </c>
      <c r="K61" s="67"/>
      <c r="L61" s="299">
        <f t="shared" si="2"/>
        <v>0</v>
      </c>
      <c r="M61" s="221" t="s">
        <v>629</v>
      </c>
      <c r="N61" s="220">
        <f>IF(OR(M61="nio",M61="eigen dienst"),0,IF(M61&gt;0,M61*K61/O61,0))*VLOOKUP(B61,'2-Kosten per locatie'!$A$14:$C$33,3,FALSE)</f>
        <v>0</v>
      </c>
      <c r="O61" s="300">
        <f>IF(OR(M61="nio",M61="eigen dienst"),0,IF(M61&gt;0,VLOOKUP(H61,'3-Productie normen'!A:J,VLOOKUP(M61,'3-Productie normen'!$B$34:$C$35,2,FALSE),FALSE)))</f>
        <v>0</v>
      </c>
      <c r="P61" s="301">
        <f>VLOOKUP(H61,'3-Productie normen'!A:L,12,FALSE)</f>
        <v>0</v>
      </c>
      <c r="Q61" s="301"/>
      <c r="S61" s="302">
        <f t="shared" si="3"/>
        <v>0</v>
      </c>
    </row>
    <row r="62" spans="1:19" ht="14.15" customHeight="1">
      <c r="A62" s="71">
        <v>62</v>
      </c>
      <c r="B62" s="67" t="s">
        <v>204</v>
      </c>
      <c r="C62" s="467" t="s">
        <v>613</v>
      </c>
      <c r="D62" s="467" t="s">
        <v>720</v>
      </c>
      <c r="E62" s="67" t="s">
        <v>714</v>
      </c>
      <c r="F62" s="67" t="s">
        <v>322</v>
      </c>
      <c r="G62" s="67" t="s">
        <v>516</v>
      </c>
      <c r="H62" s="67" t="s">
        <v>35</v>
      </c>
      <c r="I62" s="67" t="s">
        <v>202</v>
      </c>
      <c r="J62" s="67" t="s">
        <v>200</v>
      </c>
      <c r="K62" s="67">
        <v>11</v>
      </c>
      <c r="L62" s="299">
        <f t="shared" si="2"/>
        <v>200</v>
      </c>
      <c r="M62" s="221">
        <v>200</v>
      </c>
      <c r="N62" s="220" t="e">
        <f>IF(OR(M62="nio",M62="eigen dienst"),0,IF(M62&gt;0,M62*K62/O62,0))*VLOOKUP(B62,'2-Kosten per locatie'!$A$14:$C$33,3,FALSE)</f>
        <v>#DIV/0!</v>
      </c>
      <c r="O62" s="300">
        <f>IF(OR(M62="nio",M62="eigen dienst"),0,IF(M62&gt;0,VLOOKUP(H62,'3-Productie normen'!A:J,VLOOKUP(M62,'3-Productie normen'!$B$34:$C$35,2,FALSE),FALSE)))</f>
        <v>0</v>
      </c>
      <c r="P62" s="301" t="str">
        <f>VLOOKUP(H62,'3-Productie normen'!A:L,12,FALSE)</f>
        <v>B</v>
      </c>
      <c r="Q62" s="301"/>
      <c r="S62" s="302">
        <f t="shared" si="3"/>
        <v>2200</v>
      </c>
    </row>
    <row r="63" spans="1:19" ht="14.15" customHeight="1">
      <c r="A63" s="71">
        <v>63</v>
      </c>
      <c r="B63" s="67" t="s">
        <v>204</v>
      </c>
      <c r="C63" s="467" t="s">
        <v>613</v>
      </c>
      <c r="D63" s="467" t="s">
        <v>720</v>
      </c>
      <c r="E63" s="67" t="s">
        <v>714</v>
      </c>
      <c r="F63" s="67" t="s">
        <v>323</v>
      </c>
      <c r="G63" s="67" t="s">
        <v>522</v>
      </c>
      <c r="H63" s="67" t="s">
        <v>630</v>
      </c>
      <c r="I63" s="67" t="s">
        <v>202</v>
      </c>
      <c r="J63" s="67" t="s">
        <v>200</v>
      </c>
      <c r="K63" s="67"/>
      <c r="L63" s="299">
        <f t="shared" si="2"/>
        <v>0</v>
      </c>
      <c r="M63" s="221" t="s">
        <v>629</v>
      </c>
      <c r="N63" s="220">
        <f>IF(OR(M63="nio",M63="eigen dienst"),0,IF(M63&gt;0,M63*K63/O63,0))*VLOOKUP(B63,'2-Kosten per locatie'!$A$14:$C$33,3,FALSE)</f>
        <v>0</v>
      </c>
      <c r="O63" s="300">
        <f>IF(OR(M63="nio",M63="eigen dienst"),0,IF(M63&gt;0,VLOOKUP(H63,'3-Productie normen'!A:J,VLOOKUP(M63,'3-Productie normen'!$B$34:$C$35,2,FALSE),FALSE)))</f>
        <v>0</v>
      </c>
      <c r="P63" s="301">
        <f>VLOOKUP(H63,'3-Productie normen'!A:L,12,FALSE)</f>
        <v>0</v>
      </c>
      <c r="Q63" s="301"/>
      <c r="S63" s="302">
        <f t="shared" si="3"/>
        <v>0</v>
      </c>
    </row>
    <row r="64" spans="1:19" ht="14.15" customHeight="1">
      <c r="A64" s="71">
        <v>64</v>
      </c>
      <c r="B64" s="67" t="s">
        <v>204</v>
      </c>
      <c r="C64" s="467" t="s">
        <v>613</v>
      </c>
      <c r="D64" s="467" t="s">
        <v>720</v>
      </c>
      <c r="E64" s="67" t="s">
        <v>714</v>
      </c>
      <c r="F64" s="67" t="s">
        <v>324</v>
      </c>
      <c r="G64" s="67" t="s">
        <v>518</v>
      </c>
      <c r="H64" s="67" t="s">
        <v>630</v>
      </c>
      <c r="I64" s="67" t="s">
        <v>202</v>
      </c>
      <c r="J64" s="67" t="s">
        <v>200</v>
      </c>
      <c r="K64" s="67"/>
      <c r="L64" s="299">
        <f t="shared" si="2"/>
        <v>0</v>
      </c>
      <c r="M64" s="221" t="s">
        <v>629</v>
      </c>
      <c r="N64" s="220">
        <f>IF(OR(M64="nio",M64="eigen dienst"),0,IF(M64&gt;0,M64*K64/O64,0))*VLOOKUP(B64,'2-Kosten per locatie'!$A$14:$C$33,3,FALSE)</f>
        <v>0</v>
      </c>
      <c r="O64" s="300">
        <f>IF(OR(M64="nio",M64="eigen dienst"),0,IF(M64&gt;0,VLOOKUP(H64,'3-Productie normen'!A:J,VLOOKUP(M64,'3-Productie normen'!$B$34:$C$35,2,FALSE),FALSE)))</f>
        <v>0</v>
      </c>
      <c r="P64" s="301">
        <f>VLOOKUP(H64,'3-Productie normen'!A:L,12,FALSE)</f>
        <v>0</v>
      </c>
      <c r="Q64" s="301"/>
      <c r="S64" s="302">
        <f t="shared" si="3"/>
        <v>0</v>
      </c>
    </row>
    <row r="65" spans="1:19" ht="14.15" customHeight="1">
      <c r="A65" s="71">
        <v>65</v>
      </c>
      <c r="B65" s="67" t="s">
        <v>204</v>
      </c>
      <c r="C65" s="467" t="s">
        <v>613</v>
      </c>
      <c r="D65" s="467" t="s">
        <v>720</v>
      </c>
      <c r="E65" s="67" t="s">
        <v>714</v>
      </c>
      <c r="F65" s="67" t="s">
        <v>325</v>
      </c>
      <c r="G65" s="67" t="s">
        <v>530</v>
      </c>
      <c r="H65" s="67" t="s">
        <v>41</v>
      </c>
      <c r="I65" s="67" t="s">
        <v>202</v>
      </c>
      <c r="J65" s="67" t="s">
        <v>200</v>
      </c>
      <c r="K65" s="67">
        <v>23</v>
      </c>
      <c r="L65" s="299">
        <f t="shared" si="2"/>
        <v>200</v>
      </c>
      <c r="M65" s="221">
        <v>200</v>
      </c>
      <c r="N65" s="220" t="e">
        <f>IF(OR(M65="nio",M65="eigen dienst"),0,IF(M65&gt;0,M65*K65/O65,0))*VLOOKUP(B65,'2-Kosten per locatie'!$A$14:$C$33,3,FALSE)</f>
        <v>#DIV/0!</v>
      </c>
      <c r="O65" s="300">
        <f>IF(OR(M65="nio",M65="eigen dienst"),0,IF(M65&gt;0,VLOOKUP(H65,'3-Productie normen'!A:J,VLOOKUP(M65,'3-Productie normen'!$B$34:$C$35,2,FALSE),FALSE)))</f>
        <v>0</v>
      </c>
      <c r="P65" s="301" t="str">
        <f>VLOOKUP(H65,'3-Productie normen'!A:L,12,FALSE)</f>
        <v>V</v>
      </c>
      <c r="Q65" s="301"/>
      <c r="S65" s="302">
        <f t="shared" si="3"/>
        <v>4600</v>
      </c>
    </row>
    <row r="66" spans="1:19" ht="14.15" customHeight="1">
      <c r="A66" s="71">
        <v>66</v>
      </c>
      <c r="B66" s="67" t="s">
        <v>204</v>
      </c>
      <c r="C66" s="467" t="s">
        <v>613</v>
      </c>
      <c r="D66" s="467" t="s">
        <v>720</v>
      </c>
      <c r="E66" s="67" t="s">
        <v>714</v>
      </c>
      <c r="F66" s="67" t="s">
        <v>326</v>
      </c>
      <c r="G66" s="67" t="s">
        <v>516</v>
      </c>
      <c r="H66" s="67" t="s">
        <v>35</v>
      </c>
      <c r="I66" s="67" t="s">
        <v>202</v>
      </c>
      <c r="J66" s="67" t="s">
        <v>200</v>
      </c>
      <c r="K66" s="67">
        <v>31</v>
      </c>
      <c r="L66" s="299">
        <f t="shared" si="2"/>
        <v>200</v>
      </c>
      <c r="M66" s="221">
        <v>200</v>
      </c>
      <c r="N66" s="220" t="e">
        <f>IF(OR(M66="nio",M66="eigen dienst"),0,IF(M66&gt;0,M66*K66/O66,0))*VLOOKUP(B66,'2-Kosten per locatie'!$A$14:$C$33,3,FALSE)</f>
        <v>#DIV/0!</v>
      </c>
      <c r="O66" s="300">
        <f>IF(OR(M66="nio",M66="eigen dienst"),0,IF(M66&gt;0,VLOOKUP(H66,'3-Productie normen'!A:J,VLOOKUP(M66,'3-Productie normen'!$B$34:$C$35,2,FALSE),FALSE)))</f>
        <v>0</v>
      </c>
      <c r="P66" s="301" t="str">
        <f>VLOOKUP(H66,'3-Productie normen'!A:L,12,FALSE)</f>
        <v>B</v>
      </c>
      <c r="Q66" s="301"/>
      <c r="S66" s="302">
        <f t="shared" si="3"/>
        <v>6200</v>
      </c>
    </row>
    <row r="67" spans="1:19" ht="14.15" customHeight="1">
      <c r="A67" s="71">
        <v>67</v>
      </c>
      <c r="B67" s="67" t="s">
        <v>204</v>
      </c>
      <c r="C67" s="467" t="s">
        <v>613</v>
      </c>
      <c r="D67" s="467" t="s">
        <v>720</v>
      </c>
      <c r="E67" s="67" t="s">
        <v>714</v>
      </c>
      <c r="F67" s="67" t="s">
        <v>327</v>
      </c>
      <c r="G67" s="67" t="s">
        <v>515</v>
      </c>
      <c r="H67" s="67" t="s">
        <v>609</v>
      </c>
      <c r="I67" s="67" t="s">
        <v>202</v>
      </c>
      <c r="J67" s="67" t="s">
        <v>200</v>
      </c>
      <c r="K67" s="67">
        <v>49</v>
      </c>
      <c r="L67" s="299">
        <f t="shared" si="2"/>
        <v>200</v>
      </c>
      <c r="M67" s="221">
        <v>200</v>
      </c>
      <c r="N67" s="220" t="e">
        <f>IF(OR(M67="nio",M67="eigen dienst"),0,IF(M67&gt;0,M67*K67/O67,0))*VLOOKUP(B67,'2-Kosten per locatie'!$A$14:$C$33,3,FALSE)</f>
        <v>#DIV/0!</v>
      </c>
      <c r="O67" s="300">
        <f>IF(OR(M67="nio",M67="eigen dienst"),0,IF(M67&gt;0,VLOOKUP(H67,'3-Productie normen'!A:J,VLOOKUP(M67,'3-Productie normen'!$B$34:$C$35,2,FALSE),FALSE)))</f>
        <v>0</v>
      </c>
      <c r="P67" s="301" t="str">
        <f>VLOOKUP(H67,'3-Productie normen'!A:L,12,FALSE)</f>
        <v>L</v>
      </c>
      <c r="Q67" s="301"/>
      <c r="S67" s="302">
        <f t="shared" si="3"/>
        <v>9800</v>
      </c>
    </row>
    <row r="68" spans="1:19" ht="14.15" customHeight="1">
      <c r="A68" s="71">
        <v>68</v>
      </c>
      <c r="B68" s="67" t="s">
        <v>204</v>
      </c>
      <c r="C68" s="467" t="s">
        <v>613</v>
      </c>
      <c r="D68" s="467" t="s">
        <v>720</v>
      </c>
      <c r="E68" s="67" t="s">
        <v>714</v>
      </c>
      <c r="F68" s="67" t="s">
        <v>328</v>
      </c>
      <c r="G68" s="67" t="s">
        <v>531</v>
      </c>
      <c r="H68" s="67" t="s">
        <v>630</v>
      </c>
      <c r="I68" s="67" t="s">
        <v>202</v>
      </c>
      <c r="J68" s="67" t="s">
        <v>200</v>
      </c>
      <c r="K68" s="67"/>
      <c r="L68" s="299">
        <f t="shared" si="2"/>
        <v>0</v>
      </c>
      <c r="M68" s="221" t="s">
        <v>629</v>
      </c>
      <c r="N68" s="220">
        <f>IF(OR(M68="nio",M68="eigen dienst"),0,IF(M68&gt;0,M68*K68/O68,0))*VLOOKUP(B68,'2-Kosten per locatie'!$A$14:$C$33,3,FALSE)</f>
        <v>0</v>
      </c>
      <c r="O68" s="300">
        <f>IF(OR(M68="nio",M68="eigen dienst"),0,IF(M68&gt;0,VLOOKUP(H68,'3-Productie normen'!A:J,VLOOKUP(M68,'3-Productie normen'!$B$34:$C$35,2,FALSE),FALSE)))</f>
        <v>0</v>
      </c>
      <c r="P68" s="301">
        <f>VLOOKUP(H68,'3-Productie normen'!A:L,12,FALSE)</f>
        <v>0</v>
      </c>
      <c r="Q68" s="301"/>
      <c r="S68" s="302">
        <f t="shared" si="3"/>
        <v>0</v>
      </c>
    </row>
    <row r="69" spans="1:19" ht="14.15" customHeight="1">
      <c r="A69" s="71">
        <v>69</v>
      </c>
      <c r="B69" s="67" t="s">
        <v>203</v>
      </c>
      <c r="C69" s="467" t="s">
        <v>614</v>
      </c>
      <c r="D69" s="467" t="s">
        <v>720</v>
      </c>
      <c r="E69" s="67" t="s">
        <v>713</v>
      </c>
      <c r="F69" s="67" t="s">
        <v>220</v>
      </c>
      <c r="G69" s="67" t="s">
        <v>512</v>
      </c>
      <c r="H69" s="67" t="s">
        <v>39</v>
      </c>
      <c r="I69" s="67" t="s">
        <v>600</v>
      </c>
      <c r="J69" s="67" t="s">
        <v>70</v>
      </c>
      <c r="K69" s="67">
        <v>3</v>
      </c>
      <c r="L69" s="299">
        <f t="shared" si="2"/>
        <v>200</v>
      </c>
      <c r="M69" s="221">
        <v>200</v>
      </c>
      <c r="N69" s="220" t="e">
        <f>IF(OR(M69="nio",M69="eigen dienst"),0,IF(M69&gt;0,M69*K69/O69,0))*VLOOKUP(B69,'2-Kosten per locatie'!$A$14:$C$33,3,FALSE)</f>
        <v>#DIV/0!</v>
      </c>
      <c r="O69" s="300">
        <f>IF(OR(M69="nio",M69="eigen dienst"),0,IF(M69&gt;0,VLOOKUP(H69,'3-Productie normen'!A:J,VLOOKUP(M69,'3-Productie normen'!$B$34:$C$35,2,FALSE),FALSE)))</f>
        <v>0</v>
      </c>
      <c r="P69" s="301" t="str">
        <f>VLOOKUP(H69,'3-Productie normen'!A:L,12,FALSE)</f>
        <v>V</v>
      </c>
      <c r="Q69" s="301"/>
      <c r="S69" s="302">
        <f t="shared" si="3"/>
        <v>600</v>
      </c>
    </row>
    <row r="70" spans="1:19" ht="14.15" customHeight="1">
      <c r="A70" s="71">
        <v>70</v>
      </c>
      <c r="B70" s="67" t="s">
        <v>203</v>
      </c>
      <c r="C70" s="467" t="s">
        <v>614</v>
      </c>
      <c r="D70" s="467" t="s">
        <v>720</v>
      </c>
      <c r="E70" s="67" t="s">
        <v>713</v>
      </c>
      <c r="F70" s="67" t="s">
        <v>228</v>
      </c>
      <c r="G70" s="67" t="s">
        <v>48</v>
      </c>
      <c r="H70" s="67" t="s">
        <v>48</v>
      </c>
      <c r="I70" s="67" t="s">
        <v>70</v>
      </c>
      <c r="J70" s="67" t="s">
        <v>70</v>
      </c>
      <c r="K70" s="67">
        <v>16</v>
      </c>
      <c r="L70" s="299">
        <f t="shared" si="2"/>
        <v>200</v>
      </c>
      <c r="M70" s="221">
        <v>200</v>
      </c>
      <c r="N70" s="220" t="e">
        <f>IF(OR(M70="nio",M70="eigen dienst"),0,IF(M70&gt;0,M70*K70/O70,0))*VLOOKUP(B70,'2-Kosten per locatie'!$A$14:$C$33,3,FALSE)</f>
        <v>#DIV/0!</v>
      </c>
      <c r="O70" s="300">
        <f>IF(OR(M70="nio",M70="eigen dienst"),0,IF(M70&gt;0,VLOOKUP(H70,'3-Productie normen'!A:J,VLOOKUP(M70,'3-Productie normen'!$B$34:$C$35,2,FALSE),FALSE)))</f>
        <v>0</v>
      </c>
      <c r="P70" s="301" t="str">
        <f>VLOOKUP(H70,'3-Productie normen'!A:L,12,FALSE)</f>
        <v>V</v>
      </c>
      <c r="Q70" s="301"/>
      <c r="S70" s="302">
        <f t="shared" si="3"/>
        <v>3200</v>
      </c>
    </row>
    <row r="71" spans="1:19" ht="14.15" customHeight="1">
      <c r="A71" s="71">
        <v>71</v>
      </c>
      <c r="B71" s="67" t="s">
        <v>203</v>
      </c>
      <c r="C71" s="467" t="s">
        <v>614</v>
      </c>
      <c r="D71" s="467" t="s">
        <v>720</v>
      </c>
      <c r="E71" s="67" t="s">
        <v>713</v>
      </c>
      <c r="F71" s="67" t="s">
        <v>229</v>
      </c>
      <c r="G71" s="67" t="s">
        <v>512</v>
      </c>
      <c r="H71" s="67" t="s">
        <v>39</v>
      </c>
      <c r="I71" s="67" t="s">
        <v>70</v>
      </c>
      <c r="J71" s="67" t="s">
        <v>70</v>
      </c>
      <c r="K71" s="67">
        <v>82</v>
      </c>
      <c r="L71" s="299">
        <f t="shared" si="2"/>
        <v>200</v>
      </c>
      <c r="M71" s="221">
        <v>200</v>
      </c>
      <c r="N71" s="220" t="e">
        <f>IF(OR(M71="nio",M71="eigen dienst"),0,IF(M71&gt;0,M71*K71/O71,0))*VLOOKUP(B71,'2-Kosten per locatie'!$A$14:$C$33,3,FALSE)</f>
        <v>#DIV/0!</v>
      </c>
      <c r="O71" s="300">
        <f>IF(OR(M71="nio",M71="eigen dienst"),0,IF(M71&gt;0,VLOOKUP(H71,'3-Productie normen'!A:J,VLOOKUP(M71,'3-Productie normen'!$B$34:$C$35,2,FALSE),FALSE)))</f>
        <v>0</v>
      </c>
      <c r="P71" s="301" t="str">
        <f>VLOOKUP(H71,'3-Productie normen'!A:L,12,FALSE)</f>
        <v>V</v>
      </c>
      <c r="Q71" s="301"/>
      <c r="S71" s="302">
        <f t="shared" si="3"/>
        <v>16400</v>
      </c>
    </row>
    <row r="72" spans="1:19" ht="14.15" customHeight="1">
      <c r="A72" s="71">
        <v>72</v>
      </c>
      <c r="B72" s="67" t="s">
        <v>203</v>
      </c>
      <c r="C72" s="467" t="s">
        <v>614</v>
      </c>
      <c r="D72" s="467" t="s">
        <v>720</v>
      </c>
      <c r="E72" s="67" t="s">
        <v>713</v>
      </c>
      <c r="F72" s="67" t="s">
        <v>230</v>
      </c>
      <c r="G72" s="67" t="s">
        <v>515</v>
      </c>
      <c r="H72" s="67" t="s">
        <v>609</v>
      </c>
      <c r="I72" s="67" t="s">
        <v>70</v>
      </c>
      <c r="J72" s="67" t="s">
        <v>70</v>
      </c>
      <c r="K72" s="67">
        <v>56</v>
      </c>
      <c r="L72" s="299">
        <f t="shared" si="2"/>
        <v>200</v>
      </c>
      <c r="M72" s="221">
        <v>200</v>
      </c>
      <c r="N72" s="220" t="e">
        <f>IF(OR(M72="nio",M72="eigen dienst"),0,IF(M72&gt;0,M72*K72/O72,0))*VLOOKUP(B72,'2-Kosten per locatie'!$A$14:$C$33,3,FALSE)</f>
        <v>#DIV/0!</v>
      </c>
      <c r="O72" s="300">
        <f>IF(OR(M72="nio",M72="eigen dienst"),0,IF(M72&gt;0,VLOOKUP(H72,'3-Productie normen'!A:J,VLOOKUP(M72,'3-Productie normen'!$B$34:$C$35,2,FALSE),FALSE)))</f>
        <v>0</v>
      </c>
      <c r="P72" s="301" t="str">
        <f>VLOOKUP(H72,'3-Productie normen'!A:L,12,FALSE)</f>
        <v>L</v>
      </c>
      <c r="Q72" s="301"/>
      <c r="S72" s="302">
        <f t="shared" si="3"/>
        <v>11200</v>
      </c>
    </row>
    <row r="73" spans="1:19" ht="14.15" customHeight="1">
      <c r="A73" s="71">
        <v>73</v>
      </c>
      <c r="B73" s="67" t="s">
        <v>203</v>
      </c>
      <c r="C73" s="467" t="s">
        <v>614</v>
      </c>
      <c r="D73" s="467" t="s">
        <v>720</v>
      </c>
      <c r="E73" s="67" t="s">
        <v>713</v>
      </c>
      <c r="F73" s="67" t="s">
        <v>231</v>
      </c>
      <c r="G73" s="67" t="s">
        <v>514</v>
      </c>
      <c r="H73" s="67" t="s">
        <v>37</v>
      </c>
      <c r="I73" s="67" t="s">
        <v>601</v>
      </c>
      <c r="J73" s="67" t="s">
        <v>179</v>
      </c>
      <c r="K73" s="67">
        <v>8</v>
      </c>
      <c r="L73" s="299">
        <f t="shared" si="2"/>
        <v>200</v>
      </c>
      <c r="M73" s="221">
        <v>200</v>
      </c>
      <c r="N73" s="220" t="e">
        <f>IF(OR(M73="nio",M73="eigen dienst"),0,IF(M73&gt;0,M73*K73/O73,0))*VLOOKUP(B73,'2-Kosten per locatie'!$A$14:$C$33,3,FALSE)</f>
        <v>#DIV/0!</v>
      </c>
      <c r="O73" s="300">
        <f>IF(OR(M73="nio",M73="eigen dienst"),0,IF(M73&gt;0,VLOOKUP(H73,'3-Productie normen'!A:J,VLOOKUP(M73,'3-Productie normen'!$B$34:$C$35,2,FALSE),FALSE)))</f>
        <v>0</v>
      </c>
      <c r="P73" s="301" t="str">
        <f>VLOOKUP(H73,'3-Productie normen'!A:L,12,FALSE)</f>
        <v>S</v>
      </c>
      <c r="Q73" s="301"/>
      <c r="S73" s="302">
        <f t="shared" si="3"/>
        <v>1600</v>
      </c>
    </row>
    <row r="74" spans="1:19" ht="14.15" customHeight="1">
      <c r="A74" s="71">
        <v>74</v>
      </c>
      <c r="B74" s="67" t="s">
        <v>203</v>
      </c>
      <c r="C74" s="467" t="s">
        <v>614</v>
      </c>
      <c r="D74" s="467" t="s">
        <v>720</v>
      </c>
      <c r="E74" s="67" t="s">
        <v>713</v>
      </c>
      <c r="F74" s="67" t="s">
        <v>232</v>
      </c>
      <c r="G74" s="67" t="s">
        <v>515</v>
      </c>
      <c r="H74" s="67" t="s">
        <v>609</v>
      </c>
      <c r="I74" s="67" t="s">
        <v>70</v>
      </c>
      <c r="J74" s="67" t="s">
        <v>70</v>
      </c>
      <c r="K74" s="67">
        <v>80</v>
      </c>
      <c r="L74" s="299">
        <f t="shared" si="2"/>
        <v>200</v>
      </c>
      <c r="M74" s="221">
        <v>200</v>
      </c>
      <c r="N74" s="220" t="e">
        <f>IF(OR(M74="nio",M74="eigen dienst"),0,IF(M74&gt;0,M74*K74/O74,0))*VLOOKUP(B74,'2-Kosten per locatie'!$A$14:$C$33,3,FALSE)</f>
        <v>#DIV/0!</v>
      </c>
      <c r="O74" s="300">
        <f>IF(OR(M74="nio",M74="eigen dienst"),0,IF(M74&gt;0,VLOOKUP(H74,'3-Productie normen'!A:J,VLOOKUP(M74,'3-Productie normen'!$B$34:$C$35,2,FALSE),FALSE)))</f>
        <v>0</v>
      </c>
      <c r="P74" s="301" t="str">
        <f>VLOOKUP(H74,'3-Productie normen'!A:L,12,FALSE)</f>
        <v>L</v>
      </c>
      <c r="Q74" s="301"/>
      <c r="S74" s="302">
        <f t="shared" si="3"/>
        <v>16000</v>
      </c>
    </row>
    <row r="75" spans="1:19" ht="14.15" customHeight="1">
      <c r="A75" s="71">
        <v>75</v>
      </c>
      <c r="B75" s="67" t="s">
        <v>203</v>
      </c>
      <c r="C75" s="467" t="s">
        <v>614</v>
      </c>
      <c r="D75" s="467" t="s">
        <v>720</v>
      </c>
      <c r="E75" s="67" t="s">
        <v>713</v>
      </c>
      <c r="F75" s="67" t="s">
        <v>233</v>
      </c>
      <c r="G75" s="67" t="s">
        <v>47</v>
      </c>
      <c r="H75" s="67" t="s">
        <v>47</v>
      </c>
      <c r="I75" s="67" t="s">
        <v>597</v>
      </c>
      <c r="J75" s="67" t="s">
        <v>201</v>
      </c>
      <c r="K75" s="67">
        <v>10.5</v>
      </c>
      <c r="L75" s="299">
        <f t="shared" si="2"/>
        <v>200</v>
      </c>
      <c r="M75" s="221">
        <v>200</v>
      </c>
      <c r="N75" s="220" t="e">
        <f>IF(OR(M75="nio",M75="eigen dienst"),0,IF(M75&gt;0,M75*K75/O75,0))*VLOOKUP(B75,'2-Kosten per locatie'!$A$14:$C$33,3,FALSE)</f>
        <v>#DIV/0!</v>
      </c>
      <c r="O75" s="300">
        <f>IF(OR(M75="nio",M75="eigen dienst"),0,IF(M75&gt;0,VLOOKUP(H75,'3-Productie normen'!A:J,VLOOKUP(M75,'3-Productie normen'!$B$34:$C$35,2,FALSE),FALSE)))</f>
        <v>0</v>
      </c>
      <c r="P75" s="301" t="str">
        <f>VLOOKUP(H75,'3-Productie normen'!A:L,12,FALSE)</f>
        <v>V</v>
      </c>
      <c r="Q75" s="301"/>
      <c r="S75" s="302">
        <f t="shared" si="3"/>
        <v>2100</v>
      </c>
    </row>
    <row r="76" spans="1:19" ht="14.15" customHeight="1">
      <c r="A76" s="71">
        <v>76</v>
      </c>
      <c r="B76" s="67" t="s">
        <v>203</v>
      </c>
      <c r="C76" s="467" t="s">
        <v>614</v>
      </c>
      <c r="D76" s="467" t="s">
        <v>720</v>
      </c>
      <c r="E76" s="67" t="s">
        <v>713</v>
      </c>
      <c r="F76" s="67" t="s">
        <v>234</v>
      </c>
      <c r="G76" s="67" t="s">
        <v>516</v>
      </c>
      <c r="H76" s="67" t="s">
        <v>35</v>
      </c>
      <c r="I76" s="67" t="s">
        <v>70</v>
      </c>
      <c r="J76" s="67" t="s">
        <v>70</v>
      </c>
      <c r="K76" s="67">
        <v>13.5</v>
      </c>
      <c r="L76" s="299">
        <f t="shared" si="2"/>
        <v>200</v>
      </c>
      <c r="M76" s="221">
        <v>200</v>
      </c>
      <c r="N76" s="220" t="e">
        <f>IF(OR(M76="nio",M76="eigen dienst"),0,IF(M76&gt;0,M76*K76/O76,0))*VLOOKUP(B76,'2-Kosten per locatie'!$A$14:$C$33,3,FALSE)</f>
        <v>#DIV/0!</v>
      </c>
      <c r="O76" s="300">
        <f>IF(OR(M76="nio",M76="eigen dienst"),0,IF(M76&gt;0,VLOOKUP(H76,'3-Productie normen'!A:J,VLOOKUP(M76,'3-Productie normen'!$B$34:$C$35,2,FALSE),FALSE)))</f>
        <v>0</v>
      </c>
      <c r="P76" s="301" t="str">
        <f>VLOOKUP(H76,'3-Productie normen'!A:L,12,FALSE)</f>
        <v>B</v>
      </c>
      <c r="Q76" s="301"/>
      <c r="S76" s="302">
        <f t="shared" si="3"/>
        <v>2700</v>
      </c>
    </row>
    <row r="77" spans="1:19" ht="14.15" customHeight="1">
      <c r="A77" s="71">
        <v>77</v>
      </c>
      <c r="B77" s="67" t="s">
        <v>203</v>
      </c>
      <c r="C77" s="467" t="s">
        <v>614</v>
      </c>
      <c r="D77" s="467" t="s">
        <v>720</v>
      </c>
      <c r="E77" s="67" t="s">
        <v>713</v>
      </c>
      <c r="F77" s="67" t="s">
        <v>235</v>
      </c>
      <c r="G77" s="67" t="s">
        <v>516</v>
      </c>
      <c r="H77" s="67" t="s">
        <v>35</v>
      </c>
      <c r="I77" s="67" t="s">
        <v>70</v>
      </c>
      <c r="J77" s="67" t="s">
        <v>70</v>
      </c>
      <c r="K77" s="67">
        <v>13</v>
      </c>
      <c r="L77" s="299">
        <f t="shared" si="2"/>
        <v>200</v>
      </c>
      <c r="M77" s="221">
        <v>200</v>
      </c>
      <c r="N77" s="220" t="e">
        <f>IF(OR(M77="nio",M77="eigen dienst"),0,IF(M77&gt;0,M77*K77/O77,0))*VLOOKUP(B77,'2-Kosten per locatie'!$A$14:$C$33,3,FALSE)</f>
        <v>#DIV/0!</v>
      </c>
      <c r="O77" s="300">
        <f>IF(OR(M77="nio",M77="eigen dienst"),0,IF(M77&gt;0,VLOOKUP(H77,'3-Productie normen'!A:J,VLOOKUP(M77,'3-Productie normen'!$B$34:$C$35,2,FALSE),FALSE)))</f>
        <v>0</v>
      </c>
      <c r="P77" s="301" t="str">
        <f>VLOOKUP(H77,'3-Productie normen'!A:L,12,FALSE)</f>
        <v>B</v>
      </c>
      <c r="Q77" s="301"/>
      <c r="S77" s="302">
        <f t="shared" si="3"/>
        <v>2600</v>
      </c>
    </row>
    <row r="78" spans="1:19" ht="14.15" customHeight="1">
      <c r="A78" s="71">
        <v>78</v>
      </c>
      <c r="B78" s="67" t="s">
        <v>203</v>
      </c>
      <c r="C78" s="467" t="s">
        <v>614</v>
      </c>
      <c r="D78" s="467" t="s">
        <v>720</v>
      </c>
      <c r="E78" s="67" t="s">
        <v>713</v>
      </c>
      <c r="F78" s="67" t="s">
        <v>236</v>
      </c>
      <c r="G78" s="67" t="s">
        <v>521</v>
      </c>
      <c r="H78" s="67" t="s">
        <v>43</v>
      </c>
      <c r="I78" s="67" t="s">
        <v>70</v>
      </c>
      <c r="J78" s="67" t="s">
        <v>70</v>
      </c>
      <c r="K78" s="67">
        <v>16</v>
      </c>
      <c r="L78" s="299">
        <f t="shared" si="2"/>
        <v>200</v>
      </c>
      <c r="M78" s="221">
        <v>200</v>
      </c>
      <c r="N78" s="220" t="e">
        <f>IF(OR(M78="nio",M78="eigen dienst"),0,IF(M78&gt;0,M78*K78/O78,0))*VLOOKUP(B78,'2-Kosten per locatie'!$A$14:$C$33,3,FALSE)</f>
        <v>#DIV/0!</v>
      </c>
      <c r="O78" s="300">
        <f>IF(OR(M78="nio",M78="eigen dienst"),0,IF(M78&gt;0,VLOOKUP(H78,'3-Productie normen'!A:J,VLOOKUP(M78,'3-Productie normen'!$B$34:$C$35,2,FALSE),FALSE)))</f>
        <v>0</v>
      </c>
      <c r="P78" s="301" t="str">
        <f>VLOOKUP(H78,'3-Productie normen'!A:L,12,FALSE)</f>
        <v>B</v>
      </c>
      <c r="Q78" s="301"/>
      <c r="S78" s="302">
        <f t="shared" si="3"/>
        <v>3200</v>
      </c>
    </row>
    <row r="79" spans="1:19" ht="14.15" customHeight="1">
      <c r="A79" s="71">
        <v>79</v>
      </c>
      <c r="B79" s="67" t="s">
        <v>203</v>
      </c>
      <c r="C79" s="467" t="s">
        <v>614</v>
      </c>
      <c r="D79" s="467" t="s">
        <v>720</v>
      </c>
      <c r="E79" s="67" t="s">
        <v>713</v>
      </c>
      <c r="F79" s="67" t="s">
        <v>237</v>
      </c>
      <c r="G79" s="67" t="s">
        <v>512</v>
      </c>
      <c r="H79" s="67" t="s">
        <v>39</v>
      </c>
      <c r="I79" s="67" t="s">
        <v>70</v>
      </c>
      <c r="J79" s="67" t="s">
        <v>70</v>
      </c>
      <c r="K79" s="67">
        <v>88</v>
      </c>
      <c r="L79" s="299">
        <f t="shared" si="2"/>
        <v>200</v>
      </c>
      <c r="M79" s="221">
        <v>200</v>
      </c>
      <c r="N79" s="220" t="e">
        <f>IF(OR(M79="nio",M79="eigen dienst"),0,IF(M79&gt;0,M79*K79/O79,0))*VLOOKUP(B79,'2-Kosten per locatie'!$A$14:$C$33,3,FALSE)</f>
        <v>#DIV/0!</v>
      </c>
      <c r="O79" s="300">
        <f>IF(OR(M79="nio",M79="eigen dienst"),0,IF(M79&gt;0,VLOOKUP(H79,'3-Productie normen'!A:J,VLOOKUP(M79,'3-Productie normen'!$B$34:$C$35,2,FALSE),FALSE)))</f>
        <v>0</v>
      </c>
      <c r="P79" s="301" t="str">
        <f>VLOOKUP(H79,'3-Productie normen'!A:L,12,FALSE)</f>
        <v>V</v>
      </c>
      <c r="Q79" s="301"/>
      <c r="S79" s="302">
        <f t="shared" si="3"/>
        <v>17600</v>
      </c>
    </row>
    <row r="80" spans="1:19" ht="14.15" customHeight="1">
      <c r="A80" s="71">
        <v>80</v>
      </c>
      <c r="B80" s="67" t="s">
        <v>203</v>
      </c>
      <c r="C80" s="467" t="s">
        <v>614</v>
      </c>
      <c r="D80" s="467" t="s">
        <v>720</v>
      </c>
      <c r="E80" s="67" t="s">
        <v>713</v>
      </c>
      <c r="F80" s="67" t="s">
        <v>221</v>
      </c>
      <c r="G80" s="67" t="s">
        <v>48</v>
      </c>
      <c r="H80" s="67" t="s">
        <v>48</v>
      </c>
      <c r="I80" s="67" t="s">
        <v>70</v>
      </c>
      <c r="J80" s="67" t="s">
        <v>70</v>
      </c>
      <c r="K80" s="67">
        <v>12</v>
      </c>
      <c r="L80" s="299">
        <f t="shared" si="2"/>
        <v>200</v>
      </c>
      <c r="M80" s="221">
        <v>200</v>
      </c>
      <c r="N80" s="220" t="e">
        <f>IF(OR(M80="nio",M80="eigen dienst"),0,IF(M80&gt;0,M80*K80/O80,0))*VLOOKUP(B80,'2-Kosten per locatie'!$A$14:$C$33,3,FALSE)</f>
        <v>#DIV/0!</v>
      </c>
      <c r="O80" s="300">
        <f>IF(OR(M80="nio",M80="eigen dienst"),0,IF(M80&gt;0,VLOOKUP(H80,'3-Productie normen'!A:J,VLOOKUP(M80,'3-Productie normen'!$B$34:$C$35,2,FALSE),FALSE)))</f>
        <v>0</v>
      </c>
      <c r="P80" s="301" t="str">
        <f>VLOOKUP(H80,'3-Productie normen'!A:L,12,FALSE)</f>
        <v>V</v>
      </c>
      <c r="Q80" s="301"/>
      <c r="S80" s="302">
        <f t="shared" si="3"/>
        <v>2400</v>
      </c>
    </row>
    <row r="81" spans="1:19" ht="14.15" customHeight="1">
      <c r="A81" s="71">
        <v>81</v>
      </c>
      <c r="B81" s="67" t="s">
        <v>203</v>
      </c>
      <c r="C81" s="467" t="s">
        <v>614</v>
      </c>
      <c r="D81" s="467" t="s">
        <v>720</v>
      </c>
      <c r="E81" s="67" t="s">
        <v>713</v>
      </c>
      <c r="F81" s="67" t="s">
        <v>238</v>
      </c>
      <c r="G81" s="67" t="s">
        <v>514</v>
      </c>
      <c r="H81" s="67" t="s">
        <v>37</v>
      </c>
      <c r="I81" s="67" t="s">
        <v>70</v>
      </c>
      <c r="J81" s="67" t="s">
        <v>70</v>
      </c>
      <c r="K81" s="67">
        <v>1.5</v>
      </c>
      <c r="L81" s="299">
        <f t="shared" si="2"/>
        <v>200</v>
      </c>
      <c r="M81" s="221">
        <v>200</v>
      </c>
      <c r="N81" s="220" t="e">
        <f>IF(OR(M81="nio",M81="eigen dienst"),0,IF(M81&gt;0,M81*K81/O81,0))*VLOOKUP(B81,'2-Kosten per locatie'!$A$14:$C$33,3,FALSE)</f>
        <v>#DIV/0!</v>
      </c>
      <c r="O81" s="300">
        <f>IF(OR(M81="nio",M81="eigen dienst"),0,IF(M81&gt;0,VLOOKUP(H81,'3-Productie normen'!A:J,VLOOKUP(M81,'3-Productie normen'!$B$34:$C$35,2,FALSE),FALSE)))</f>
        <v>0</v>
      </c>
      <c r="P81" s="301" t="str">
        <f>VLOOKUP(H81,'3-Productie normen'!A:L,12,FALSE)</f>
        <v>S</v>
      </c>
      <c r="Q81" s="301"/>
      <c r="S81" s="302">
        <f t="shared" si="3"/>
        <v>300</v>
      </c>
    </row>
    <row r="82" spans="1:19" ht="14.15" customHeight="1">
      <c r="A82" s="71">
        <v>82</v>
      </c>
      <c r="B82" s="67" t="s">
        <v>203</v>
      </c>
      <c r="C82" s="467" t="s">
        <v>614</v>
      </c>
      <c r="D82" s="467" t="s">
        <v>720</v>
      </c>
      <c r="E82" s="67" t="s">
        <v>713</v>
      </c>
      <c r="F82" s="67" t="s">
        <v>239</v>
      </c>
      <c r="G82" s="67" t="s">
        <v>522</v>
      </c>
      <c r="H82" s="67" t="s">
        <v>630</v>
      </c>
      <c r="I82" s="67" t="s">
        <v>70</v>
      </c>
      <c r="J82" s="67" t="s">
        <v>70</v>
      </c>
      <c r="K82" s="67">
        <v>0</v>
      </c>
      <c r="L82" s="299">
        <f t="shared" si="2"/>
        <v>0</v>
      </c>
      <c r="M82" s="221" t="s">
        <v>629</v>
      </c>
      <c r="N82" s="220">
        <f>IF(OR(M82="nio",M82="eigen dienst"),0,IF(M82&gt;0,M82*K82/O82,0))*VLOOKUP(B82,'2-Kosten per locatie'!$A$14:$C$33,3,FALSE)</f>
        <v>0</v>
      </c>
      <c r="O82" s="300">
        <f>IF(OR(M82="nio",M82="eigen dienst"),0,IF(M82&gt;0,VLOOKUP(H82,'3-Productie normen'!A:J,VLOOKUP(M82,'3-Productie normen'!$B$34:$C$35,2,FALSE),FALSE)))</f>
        <v>0</v>
      </c>
      <c r="P82" s="301">
        <f>VLOOKUP(H82,'3-Productie normen'!A:L,12,FALSE)</f>
        <v>0</v>
      </c>
      <c r="Q82" s="301"/>
      <c r="S82" s="302">
        <f t="shared" si="3"/>
        <v>0</v>
      </c>
    </row>
    <row r="83" spans="1:19" ht="14.15" customHeight="1">
      <c r="A83" s="71">
        <v>83</v>
      </c>
      <c r="B83" s="67" t="s">
        <v>203</v>
      </c>
      <c r="C83" s="467" t="s">
        <v>614</v>
      </c>
      <c r="D83" s="467" t="s">
        <v>720</v>
      </c>
      <c r="E83" s="67" t="s">
        <v>713</v>
      </c>
      <c r="F83" s="67" t="s">
        <v>240</v>
      </c>
      <c r="G83" s="67" t="s">
        <v>539</v>
      </c>
      <c r="H83" s="67" t="s">
        <v>37</v>
      </c>
      <c r="I83" s="67" t="s">
        <v>601</v>
      </c>
      <c r="J83" s="67" t="s">
        <v>179</v>
      </c>
      <c r="K83" s="67">
        <v>4</v>
      </c>
      <c r="L83" s="299">
        <f t="shared" si="2"/>
        <v>200</v>
      </c>
      <c r="M83" s="221">
        <v>200</v>
      </c>
      <c r="N83" s="220" t="e">
        <f>IF(OR(M83="nio",M83="eigen dienst"),0,IF(M83&gt;0,M83*K83/O83,0))*VLOOKUP(B83,'2-Kosten per locatie'!$A$14:$C$33,3,FALSE)</f>
        <v>#DIV/0!</v>
      </c>
      <c r="O83" s="300">
        <f>IF(OR(M83="nio",M83="eigen dienst"),0,IF(M83&gt;0,VLOOKUP(H83,'3-Productie normen'!A:J,VLOOKUP(M83,'3-Productie normen'!$B$34:$C$35,2,FALSE),FALSE)))</f>
        <v>0</v>
      </c>
      <c r="P83" s="301" t="str">
        <f>VLOOKUP(H83,'3-Productie normen'!A:L,12,FALSE)</f>
        <v>S</v>
      </c>
      <c r="Q83" s="301"/>
      <c r="S83" s="302">
        <f t="shared" si="3"/>
        <v>800</v>
      </c>
    </row>
    <row r="84" spans="1:19" ht="14.15" customHeight="1">
      <c r="A84" s="71">
        <v>84</v>
      </c>
      <c r="B84" s="67" t="s">
        <v>203</v>
      </c>
      <c r="C84" s="467" t="s">
        <v>614</v>
      </c>
      <c r="D84" s="467" t="s">
        <v>720</v>
      </c>
      <c r="E84" s="67" t="s">
        <v>713</v>
      </c>
      <c r="F84" s="67" t="s">
        <v>241</v>
      </c>
      <c r="G84" s="67" t="s">
        <v>515</v>
      </c>
      <c r="H84" s="67" t="s">
        <v>609</v>
      </c>
      <c r="I84" s="67" t="s">
        <v>70</v>
      </c>
      <c r="J84" s="67" t="s">
        <v>70</v>
      </c>
      <c r="K84" s="67">
        <v>48</v>
      </c>
      <c r="L84" s="299">
        <f t="shared" si="2"/>
        <v>200</v>
      </c>
      <c r="M84" s="221">
        <v>200</v>
      </c>
      <c r="N84" s="220" t="e">
        <f>IF(OR(M84="nio",M84="eigen dienst"),0,IF(M84&gt;0,M84*K84/O84,0))*VLOOKUP(B84,'2-Kosten per locatie'!$A$14:$C$33,3,FALSE)</f>
        <v>#DIV/0!</v>
      </c>
      <c r="O84" s="300">
        <f>IF(OR(M84="nio",M84="eigen dienst"),0,IF(M84&gt;0,VLOOKUP(H84,'3-Productie normen'!A:J,VLOOKUP(M84,'3-Productie normen'!$B$34:$C$35,2,FALSE),FALSE)))</f>
        <v>0</v>
      </c>
      <c r="P84" s="301" t="str">
        <f>VLOOKUP(H84,'3-Productie normen'!A:L,12,FALSE)</f>
        <v>L</v>
      </c>
      <c r="Q84" s="301"/>
      <c r="S84" s="302">
        <f t="shared" si="3"/>
        <v>9600</v>
      </c>
    </row>
    <row r="85" spans="1:19" ht="14.15" customHeight="1">
      <c r="A85" s="71">
        <v>85</v>
      </c>
      <c r="B85" s="67" t="s">
        <v>203</v>
      </c>
      <c r="C85" s="467" t="s">
        <v>614</v>
      </c>
      <c r="D85" s="467" t="s">
        <v>720</v>
      </c>
      <c r="E85" s="67" t="s">
        <v>713</v>
      </c>
      <c r="F85" s="67" t="s">
        <v>222</v>
      </c>
      <c r="G85" s="67" t="s">
        <v>518</v>
      </c>
      <c r="H85" s="67" t="s">
        <v>630</v>
      </c>
      <c r="I85" s="67" t="s">
        <v>70</v>
      </c>
      <c r="J85" s="67" t="s">
        <v>70</v>
      </c>
      <c r="K85" s="67">
        <v>0</v>
      </c>
      <c r="L85" s="299">
        <f t="shared" si="2"/>
        <v>0</v>
      </c>
      <c r="M85" s="221" t="s">
        <v>629</v>
      </c>
      <c r="N85" s="220">
        <f>IF(OR(M85="nio",M85="eigen dienst"),0,IF(M85&gt;0,M85*K85/O85,0))*VLOOKUP(B85,'2-Kosten per locatie'!$A$14:$C$33,3,FALSE)</f>
        <v>0</v>
      </c>
      <c r="O85" s="300">
        <f>IF(OR(M85="nio",M85="eigen dienst"),0,IF(M85&gt;0,VLOOKUP(H85,'3-Productie normen'!A:J,VLOOKUP(M85,'3-Productie normen'!$B$34:$C$35,2,FALSE),FALSE)))</f>
        <v>0</v>
      </c>
      <c r="P85" s="301">
        <f>VLOOKUP(H85,'3-Productie normen'!A:L,12,FALSE)</f>
        <v>0</v>
      </c>
      <c r="Q85" s="301"/>
      <c r="S85" s="302">
        <f t="shared" si="3"/>
        <v>0</v>
      </c>
    </row>
    <row r="86" spans="1:19" ht="14.15" customHeight="1">
      <c r="A86" s="71">
        <v>86</v>
      </c>
      <c r="B86" s="67" t="s">
        <v>203</v>
      </c>
      <c r="C86" s="467" t="s">
        <v>614</v>
      </c>
      <c r="D86" s="467" t="s">
        <v>720</v>
      </c>
      <c r="E86" s="67" t="s">
        <v>713</v>
      </c>
      <c r="F86" s="67" t="s">
        <v>223</v>
      </c>
      <c r="G86" s="67" t="s">
        <v>516</v>
      </c>
      <c r="H86" s="67" t="s">
        <v>35</v>
      </c>
      <c r="I86" s="67" t="s">
        <v>70</v>
      </c>
      <c r="J86" s="67" t="s">
        <v>70</v>
      </c>
      <c r="K86" s="67">
        <v>11.7</v>
      </c>
      <c r="L86" s="299">
        <f t="shared" si="2"/>
        <v>200</v>
      </c>
      <c r="M86" s="221">
        <v>200</v>
      </c>
      <c r="N86" s="220" t="e">
        <f>IF(OR(M86="nio",M86="eigen dienst"),0,IF(M86&gt;0,M86*K86/O86,0))*VLOOKUP(B86,'2-Kosten per locatie'!$A$14:$C$33,3,FALSE)</f>
        <v>#DIV/0!</v>
      </c>
      <c r="O86" s="300">
        <f>IF(OR(M86="nio",M86="eigen dienst"),0,IF(M86&gt;0,VLOOKUP(H86,'3-Productie normen'!A:J,VLOOKUP(M86,'3-Productie normen'!$B$34:$C$35,2,FALSE),FALSE)))</f>
        <v>0</v>
      </c>
      <c r="P86" s="301" t="str">
        <f>VLOOKUP(H86,'3-Productie normen'!A:L,12,FALSE)</f>
        <v>B</v>
      </c>
      <c r="Q86" s="301"/>
      <c r="S86" s="302">
        <f t="shared" si="3"/>
        <v>2340</v>
      </c>
    </row>
    <row r="87" spans="1:19" ht="14.15" customHeight="1">
      <c r="A87" s="71">
        <v>87</v>
      </c>
      <c r="B87" s="67" t="s">
        <v>203</v>
      </c>
      <c r="C87" s="467" t="s">
        <v>614</v>
      </c>
      <c r="D87" s="467" t="s">
        <v>720</v>
      </c>
      <c r="E87" s="67" t="s">
        <v>713</v>
      </c>
      <c r="F87" s="67" t="s">
        <v>265</v>
      </c>
      <c r="G87" s="67" t="s">
        <v>518</v>
      </c>
      <c r="H87" s="67" t="s">
        <v>630</v>
      </c>
      <c r="I87" s="67" t="s">
        <v>70</v>
      </c>
      <c r="J87" s="67" t="s">
        <v>70</v>
      </c>
      <c r="K87" s="67">
        <v>0</v>
      </c>
      <c r="L87" s="299">
        <f t="shared" si="2"/>
        <v>0</v>
      </c>
      <c r="M87" s="221" t="s">
        <v>629</v>
      </c>
      <c r="N87" s="220">
        <f>IF(OR(M87="nio",M87="eigen dienst"),0,IF(M87&gt;0,M87*K87/O87,0))*VLOOKUP(B87,'2-Kosten per locatie'!$A$14:$C$33,3,FALSE)</f>
        <v>0</v>
      </c>
      <c r="O87" s="300">
        <f>IF(OR(M87="nio",M87="eigen dienst"),0,IF(M87&gt;0,VLOOKUP(H87,'3-Productie normen'!A:J,VLOOKUP(M87,'3-Productie normen'!$B$34:$C$35,2,FALSE),FALSE)))</f>
        <v>0</v>
      </c>
      <c r="P87" s="301">
        <f>VLOOKUP(H87,'3-Productie normen'!A:L,12,FALSE)</f>
        <v>0</v>
      </c>
      <c r="Q87" s="301"/>
      <c r="S87" s="302">
        <f t="shared" si="3"/>
        <v>0</v>
      </c>
    </row>
    <row r="88" spans="1:19" ht="14.15" customHeight="1">
      <c r="A88" s="71">
        <v>88</v>
      </c>
      <c r="B88" s="67" t="s">
        <v>203</v>
      </c>
      <c r="C88" s="467" t="s">
        <v>614</v>
      </c>
      <c r="D88" s="467" t="s">
        <v>720</v>
      </c>
      <c r="E88" s="67" t="s">
        <v>713</v>
      </c>
      <c r="F88" s="67" t="s">
        <v>224</v>
      </c>
      <c r="G88" s="67" t="s">
        <v>513</v>
      </c>
      <c r="H88" s="67" t="s">
        <v>45</v>
      </c>
      <c r="I88" s="67" t="s">
        <v>599</v>
      </c>
      <c r="J88" s="67" t="s">
        <v>200</v>
      </c>
      <c r="K88" s="67">
        <v>99</v>
      </c>
      <c r="L88" s="299">
        <f t="shared" si="2"/>
        <v>200</v>
      </c>
      <c r="M88" s="221">
        <v>200</v>
      </c>
      <c r="N88" s="220" t="e">
        <f>IF(OR(M88="nio",M88="eigen dienst"),0,IF(M88&gt;0,M88*K88/O88,0))*VLOOKUP(B88,'2-Kosten per locatie'!$A$14:$C$33,3,FALSE)</f>
        <v>#DIV/0!</v>
      </c>
      <c r="O88" s="300">
        <f>IF(OR(M88="nio",M88="eigen dienst"),0,IF(M88&gt;0,VLOOKUP(H88,'3-Productie normen'!A:J,VLOOKUP(M88,'3-Productie normen'!$B$34:$C$35,2,FALSE),FALSE)))</f>
        <v>0</v>
      </c>
      <c r="P88" s="301" t="str">
        <f>VLOOKUP(H88,'3-Productie normen'!A:L,12,FALSE)</f>
        <v>L</v>
      </c>
      <c r="Q88" s="301"/>
      <c r="S88" s="302">
        <f t="shared" si="3"/>
        <v>19800</v>
      </c>
    </row>
    <row r="89" spans="1:19" ht="14.15" customHeight="1">
      <c r="A89" s="71">
        <v>89</v>
      </c>
      <c r="B89" s="67" t="s">
        <v>203</v>
      </c>
      <c r="C89" s="467" t="s">
        <v>614</v>
      </c>
      <c r="D89" s="467" t="s">
        <v>720</v>
      </c>
      <c r="E89" s="67" t="s">
        <v>713</v>
      </c>
      <c r="F89" s="67" t="s">
        <v>225</v>
      </c>
      <c r="G89" s="67" t="s">
        <v>515</v>
      </c>
      <c r="H89" s="67" t="s">
        <v>609</v>
      </c>
      <c r="I89" s="67" t="s">
        <v>70</v>
      </c>
      <c r="J89" s="67" t="s">
        <v>70</v>
      </c>
      <c r="K89" s="67">
        <v>56</v>
      </c>
      <c r="L89" s="299">
        <f t="shared" si="2"/>
        <v>200</v>
      </c>
      <c r="M89" s="221">
        <v>200</v>
      </c>
      <c r="N89" s="220" t="e">
        <f>IF(OR(M89="nio",M89="eigen dienst"),0,IF(M89&gt;0,M89*K89/O89,0))*VLOOKUP(B89,'2-Kosten per locatie'!$A$14:$C$33,3,FALSE)</f>
        <v>#DIV/0!</v>
      </c>
      <c r="O89" s="300">
        <f>IF(OR(M89="nio",M89="eigen dienst"),0,IF(M89&gt;0,VLOOKUP(H89,'3-Productie normen'!A:J,VLOOKUP(M89,'3-Productie normen'!$B$34:$C$35,2,FALSE),FALSE)))</f>
        <v>0</v>
      </c>
      <c r="P89" s="301" t="str">
        <f>VLOOKUP(H89,'3-Productie normen'!A:L,12,FALSE)</f>
        <v>L</v>
      </c>
      <c r="Q89" s="301"/>
      <c r="S89" s="302">
        <f t="shared" si="3"/>
        <v>11200</v>
      </c>
    </row>
    <row r="90" spans="1:19" ht="14.15" customHeight="1">
      <c r="A90" s="71">
        <v>90</v>
      </c>
      <c r="B90" s="67" t="s">
        <v>203</v>
      </c>
      <c r="C90" s="467" t="s">
        <v>614</v>
      </c>
      <c r="D90" s="467" t="s">
        <v>720</v>
      </c>
      <c r="E90" s="67" t="s">
        <v>713</v>
      </c>
      <c r="F90" s="67" t="s">
        <v>226</v>
      </c>
      <c r="G90" s="67" t="s">
        <v>514</v>
      </c>
      <c r="H90" s="67" t="s">
        <v>37</v>
      </c>
      <c r="I90" s="67" t="s">
        <v>601</v>
      </c>
      <c r="J90" s="67" t="s">
        <v>179</v>
      </c>
      <c r="K90" s="67">
        <v>8</v>
      </c>
      <c r="L90" s="299">
        <f t="shared" si="2"/>
        <v>200</v>
      </c>
      <c r="M90" s="221">
        <v>200</v>
      </c>
      <c r="N90" s="220" t="e">
        <f>IF(OR(M90="nio",M90="eigen dienst"),0,IF(M90&gt;0,M90*K90/O90,0))*VLOOKUP(B90,'2-Kosten per locatie'!$A$14:$C$33,3,FALSE)</f>
        <v>#DIV/0!</v>
      </c>
      <c r="O90" s="300">
        <f>IF(OR(M90="nio",M90="eigen dienst"),0,IF(M90&gt;0,VLOOKUP(H90,'3-Productie normen'!A:J,VLOOKUP(M90,'3-Productie normen'!$B$34:$C$35,2,FALSE),FALSE)))</f>
        <v>0</v>
      </c>
      <c r="P90" s="301" t="str">
        <f>VLOOKUP(H90,'3-Productie normen'!A:L,12,FALSE)</f>
        <v>S</v>
      </c>
      <c r="Q90" s="301"/>
      <c r="S90" s="302">
        <f t="shared" si="3"/>
        <v>1600</v>
      </c>
    </row>
    <row r="91" spans="1:19" ht="14.15" customHeight="1">
      <c r="A91" s="71">
        <v>91</v>
      </c>
      <c r="B91" s="67" t="s">
        <v>203</v>
      </c>
      <c r="C91" s="467" t="s">
        <v>614</v>
      </c>
      <c r="D91" s="467" t="s">
        <v>720</v>
      </c>
      <c r="E91" s="67" t="s">
        <v>713</v>
      </c>
      <c r="F91" s="67" t="s">
        <v>227</v>
      </c>
      <c r="G91" s="67" t="s">
        <v>515</v>
      </c>
      <c r="H91" s="67" t="s">
        <v>609</v>
      </c>
      <c r="I91" s="67" t="s">
        <v>70</v>
      </c>
      <c r="J91" s="67" t="s">
        <v>70</v>
      </c>
      <c r="K91" s="67">
        <v>56</v>
      </c>
      <c r="L91" s="299">
        <f t="shared" si="2"/>
        <v>200</v>
      </c>
      <c r="M91" s="221">
        <v>200</v>
      </c>
      <c r="N91" s="220" t="e">
        <f>IF(OR(M91="nio",M91="eigen dienst"),0,IF(M91&gt;0,M91*K91/O91,0))*VLOOKUP(B91,'2-Kosten per locatie'!$A$14:$C$33,3,FALSE)</f>
        <v>#DIV/0!</v>
      </c>
      <c r="O91" s="300">
        <f>IF(OR(M91="nio",M91="eigen dienst"),0,IF(M91&gt;0,VLOOKUP(H91,'3-Productie normen'!A:J,VLOOKUP(M91,'3-Productie normen'!$B$34:$C$35,2,FALSE),FALSE)))</f>
        <v>0</v>
      </c>
      <c r="P91" s="301" t="str">
        <f>VLOOKUP(H91,'3-Productie normen'!A:L,12,FALSE)</f>
        <v>L</v>
      </c>
      <c r="Q91" s="301"/>
      <c r="S91" s="302">
        <f t="shared" si="3"/>
        <v>11200</v>
      </c>
    </row>
    <row r="92" spans="1:19" ht="14.15" customHeight="1">
      <c r="A92" s="71">
        <v>92</v>
      </c>
      <c r="B92" s="67" t="s">
        <v>203</v>
      </c>
      <c r="C92" s="467" t="s">
        <v>614</v>
      </c>
      <c r="D92" s="467" t="s">
        <v>720</v>
      </c>
      <c r="E92" s="67" t="s">
        <v>714</v>
      </c>
      <c r="F92" s="67" t="s">
        <v>266</v>
      </c>
      <c r="G92" s="67" t="s">
        <v>48</v>
      </c>
      <c r="H92" s="67" t="s">
        <v>48</v>
      </c>
      <c r="I92" s="67" t="s">
        <v>602</v>
      </c>
      <c r="J92" s="67" t="s">
        <v>200</v>
      </c>
      <c r="K92" s="67">
        <v>15.5</v>
      </c>
      <c r="L92" s="299">
        <f t="shared" si="2"/>
        <v>0</v>
      </c>
      <c r="M92" s="221" t="s">
        <v>629</v>
      </c>
      <c r="N92" s="220">
        <f>IF(OR(M92="nio",M92="eigen dienst"),0,IF(M92&gt;0,M92*K92/O92,0))*VLOOKUP(B92,'2-Kosten per locatie'!$A$14:$C$33,3,FALSE)</f>
        <v>0</v>
      </c>
      <c r="O92" s="300">
        <f>IF(OR(M92="nio",M92="eigen dienst"),0,IF(M92&gt;0,VLOOKUP(H92,'3-Productie normen'!A:J,VLOOKUP(M92,'3-Productie normen'!$B$34:$C$35,2,FALSE),FALSE)))</f>
        <v>0</v>
      </c>
      <c r="P92" s="301" t="str">
        <f>VLOOKUP(H92,'3-Productie normen'!A:L,12,FALSE)</f>
        <v>V</v>
      </c>
      <c r="Q92" s="301"/>
      <c r="S92" s="302">
        <f t="shared" si="3"/>
        <v>0</v>
      </c>
    </row>
    <row r="93" spans="1:19" ht="14.15" customHeight="1">
      <c r="A93" s="71">
        <v>93</v>
      </c>
      <c r="B93" s="67" t="s">
        <v>203</v>
      </c>
      <c r="C93" s="467" t="s">
        <v>614</v>
      </c>
      <c r="D93" s="467" t="s">
        <v>720</v>
      </c>
      <c r="E93" s="67" t="s">
        <v>714</v>
      </c>
      <c r="F93" s="67" t="s">
        <v>275</v>
      </c>
      <c r="G93" s="67" t="s">
        <v>48</v>
      </c>
      <c r="H93" s="67" t="s">
        <v>48</v>
      </c>
      <c r="I93" s="67" t="s">
        <v>602</v>
      </c>
      <c r="J93" s="67" t="s">
        <v>200</v>
      </c>
      <c r="K93" s="67">
        <v>15</v>
      </c>
      <c r="L93" s="299">
        <f t="shared" si="2"/>
        <v>200</v>
      </c>
      <c r="M93" s="221">
        <v>200</v>
      </c>
      <c r="N93" s="220" t="e">
        <f>IF(OR(M93="nio",M93="eigen dienst"),0,IF(M93&gt;0,M93*K93/O93,0))*VLOOKUP(B93,'2-Kosten per locatie'!$A$14:$C$33,3,FALSE)</f>
        <v>#DIV/0!</v>
      </c>
      <c r="O93" s="300">
        <f>IF(OR(M93="nio",M93="eigen dienst"),0,IF(M93&gt;0,VLOOKUP(H93,'3-Productie normen'!A:J,VLOOKUP(M93,'3-Productie normen'!$B$34:$C$35,2,FALSE),FALSE)))</f>
        <v>0</v>
      </c>
      <c r="P93" s="301" t="str">
        <f>VLOOKUP(H93,'3-Productie normen'!A:L,12,FALSE)</f>
        <v>V</v>
      </c>
      <c r="Q93" s="301"/>
      <c r="S93" s="302">
        <f t="shared" si="3"/>
        <v>3000</v>
      </c>
    </row>
    <row r="94" spans="1:19" ht="14.15" customHeight="1">
      <c r="A94" s="71">
        <v>94</v>
      </c>
      <c r="B94" s="67" t="s">
        <v>203</v>
      </c>
      <c r="C94" s="467" t="s">
        <v>614</v>
      </c>
      <c r="D94" s="467" t="s">
        <v>720</v>
      </c>
      <c r="E94" s="67" t="s">
        <v>714</v>
      </c>
      <c r="F94" s="67" t="s">
        <v>276</v>
      </c>
      <c r="G94" s="67" t="s">
        <v>512</v>
      </c>
      <c r="H94" s="67" t="s">
        <v>39</v>
      </c>
      <c r="I94" s="67" t="s">
        <v>70</v>
      </c>
      <c r="J94" s="67" t="s">
        <v>70</v>
      </c>
      <c r="K94" s="67">
        <v>96</v>
      </c>
      <c r="L94" s="299">
        <f t="shared" si="2"/>
        <v>200</v>
      </c>
      <c r="M94" s="221">
        <v>200</v>
      </c>
      <c r="N94" s="220" t="e">
        <f>IF(OR(M94="nio",M94="eigen dienst"),0,IF(M94&gt;0,M94*K94/O94,0))*VLOOKUP(B94,'2-Kosten per locatie'!$A$14:$C$33,3,FALSE)</f>
        <v>#DIV/0!</v>
      </c>
      <c r="O94" s="300">
        <f>IF(OR(M94="nio",M94="eigen dienst"),0,IF(M94&gt;0,VLOOKUP(H94,'3-Productie normen'!A:J,VLOOKUP(M94,'3-Productie normen'!$B$34:$C$35,2,FALSE),FALSE)))</f>
        <v>0</v>
      </c>
      <c r="P94" s="301" t="str">
        <f>VLOOKUP(H94,'3-Productie normen'!A:L,12,FALSE)</f>
        <v>V</v>
      </c>
      <c r="Q94" s="301"/>
      <c r="S94" s="302">
        <f t="shared" si="3"/>
        <v>19200</v>
      </c>
    </row>
    <row r="95" spans="1:19" ht="14.15" customHeight="1">
      <c r="A95" s="71">
        <v>95</v>
      </c>
      <c r="B95" s="67" t="s">
        <v>203</v>
      </c>
      <c r="C95" s="467" t="s">
        <v>614</v>
      </c>
      <c r="D95" s="467" t="s">
        <v>720</v>
      </c>
      <c r="E95" s="67" t="s">
        <v>714</v>
      </c>
      <c r="F95" s="67" t="s">
        <v>277</v>
      </c>
      <c r="G95" s="67" t="s">
        <v>512</v>
      </c>
      <c r="H95" s="67" t="s">
        <v>39</v>
      </c>
      <c r="I95" s="67" t="s">
        <v>70</v>
      </c>
      <c r="J95" s="67" t="s">
        <v>70</v>
      </c>
      <c r="K95" s="67">
        <v>81</v>
      </c>
      <c r="L95" s="299">
        <f t="shared" si="2"/>
        <v>0</v>
      </c>
      <c r="M95" s="221" t="s">
        <v>629</v>
      </c>
      <c r="N95" s="220">
        <f>IF(OR(M95="nio",M95="eigen dienst"),0,IF(M95&gt;0,M95*K95/O95,0))*VLOOKUP(B95,'2-Kosten per locatie'!$A$14:$C$33,3,FALSE)</f>
        <v>0</v>
      </c>
      <c r="O95" s="300">
        <f>IF(OR(M95="nio",M95="eigen dienst"),0,IF(M95&gt;0,VLOOKUP(H95,'3-Productie normen'!A:J,VLOOKUP(M95,'3-Productie normen'!$B$34:$C$35,2,FALSE),FALSE)))</f>
        <v>0</v>
      </c>
      <c r="P95" s="301" t="str">
        <f>VLOOKUP(H95,'3-Productie normen'!A:L,12,FALSE)</f>
        <v>V</v>
      </c>
      <c r="Q95" s="301"/>
      <c r="S95" s="302">
        <f t="shared" si="3"/>
        <v>0</v>
      </c>
    </row>
    <row r="96" spans="1:19" ht="14.15" customHeight="1">
      <c r="A96" s="71">
        <v>96</v>
      </c>
      <c r="B96" s="67" t="s">
        <v>203</v>
      </c>
      <c r="C96" s="467" t="s">
        <v>614</v>
      </c>
      <c r="D96" s="467" t="s">
        <v>720</v>
      </c>
      <c r="E96" s="67" t="s">
        <v>714</v>
      </c>
      <c r="F96" s="67" t="s">
        <v>278</v>
      </c>
      <c r="G96" s="67" t="s">
        <v>515</v>
      </c>
      <c r="H96" s="67" t="s">
        <v>609</v>
      </c>
      <c r="I96" s="67" t="s">
        <v>70</v>
      </c>
      <c r="J96" s="56" t="s">
        <v>70</v>
      </c>
      <c r="K96" s="67">
        <v>56</v>
      </c>
      <c r="L96" s="299">
        <f t="shared" si="2"/>
        <v>0</v>
      </c>
      <c r="M96" s="221" t="s">
        <v>629</v>
      </c>
      <c r="N96" s="220">
        <f>IF(OR(M96="nio",M96="eigen dienst"),0,IF(M96&gt;0,M96*K96/O96,0))*VLOOKUP(B96,'2-Kosten per locatie'!$A$14:$C$33,3,FALSE)</f>
        <v>0</v>
      </c>
      <c r="O96" s="300">
        <f>IF(OR(M96="nio",M96="eigen dienst"),0,IF(M96&gt;0,VLOOKUP(H96,'3-Productie normen'!A:J,VLOOKUP(M96,'3-Productie normen'!$B$34:$C$35,2,FALSE),FALSE)))</f>
        <v>0</v>
      </c>
      <c r="P96" s="301" t="str">
        <f>VLOOKUP(H96,'3-Productie normen'!A:L,12,FALSE)</f>
        <v>L</v>
      </c>
      <c r="Q96" s="301"/>
      <c r="S96" s="302">
        <f t="shared" si="3"/>
        <v>0</v>
      </c>
    </row>
    <row r="97" spans="1:19" ht="14.15" customHeight="1">
      <c r="A97" s="71">
        <v>97</v>
      </c>
      <c r="B97" s="67" t="s">
        <v>203</v>
      </c>
      <c r="C97" s="467" t="s">
        <v>614</v>
      </c>
      <c r="D97" s="467" t="s">
        <v>720</v>
      </c>
      <c r="E97" s="67" t="s">
        <v>714</v>
      </c>
      <c r="F97" s="67" t="s">
        <v>279</v>
      </c>
      <c r="G97" s="67" t="s">
        <v>514</v>
      </c>
      <c r="H97" s="67" t="s">
        <v>37</v>
      </c>
      <c r="I97" s="67" t="s">
        <v>601</v>
      </c>
      <c r="J97" s="67" t="s">
        <v>179</v>
      </c>
      <c r="K97" s="67">
        <v>7.8</v>
      </c>
      <c r="L97" s="299">
        <f t="shared" si="2"/>
        <v>0</v>
      </c>
      <c r="M97" s="221" t="s">
        <v>629</v>
      </c>
      <c r="N97" s="220">
        <f>IF(OR(M97="nio",M97="eigen dienst"),0,IF(M97&gt;0,M97*K97/O97,0))*VLOOKUP(B97,'2-Kosten per locatie'!$A$14:$C$33,3,FALSE)</f>
        <v>0</v>
      </c>
      <c r="O97" s="300">
        <f>IF(OR(M97="nio",M97="eigen dienst"),0,IF(M97&gt;0,VLOOKUP(H97,'3-Productie normen'!A:J,VLOOKUP(M97,'3-Productie normen'!$B$34:$C$35,2,FALSE),FALSE)))</f>
        <v>0</v>
      </c>
      <c r="P97" s="301" t="str">
        <f>VLOOKUP(H97,'3-Productie normen'!A:L,12,FALSE)</f>
        <v>S</v>
      </c>
      <c r="Q97" s="301"/>
      <c r="S97" s="302">
        <f t="shared" si="3"/>
        <v>0</v>
      </c>
    </row>
    <row r="98" spans="1:19" ht="14.15" customHeight="1">
      <c r="A98" s="71">
        <v>98</v>
      </c>
      <c r="B98" s="67" t="s">
        <v>203</v>
      </c>
      <c r="C98" s="467" t="s">
        <v>614</v>
      </c>
      <c r="D98" s="467" t="s">
        <v>720</v>
      </c>
      <c r="E98" s="67" t="s">
        <v>714</v>
      </c>
      <c r="F98" s="67" t="s">
        <v>280</v>
      </c>
      <c r="G98" s="67" t="s">
        <v>515</v>
      </c>
      <c r="H98" s="67" t="s">
        <v>609</v>
      </c>
      <c r="I98" s="67" t="s">
        <v>70</v>
      </c>
      <c r="J98" s="67" t="s">
        <v>70</v>
      </c>
      <c r="K98" s="67">
        <v>56</v>
      </c>
      <c r="L98" s="299">
        <f t="shared" si="2"/>
        <v>0</v>
      </c>
      <c r="M98" s="221" t="s">
        <v>629</v>
      </c>
      <c r="N98" s="220">
        <f>IF(OR(M98="nio",M98="eigen dienst"),0,IF(M98&gt;0,M98*K98/O98,0))*VLOOKUP(B98,'2-Kosten per locatie'!$A$14:$C$33,3,FALSE)</f>
        <v>0</v>
      </c>
      <c r="O98" s="300">
        <f>IF(OR(M98="nio",M98="eigen dienst"),0,IF(M98&gt;0,VLOOKUP(H98,'3-Productie normen'!A:J,VLOOKUP(M98,'3-Productie normen'!$B$34:$C$35,2,FALSE),FALSE)))</f>
        <v>0</v>
      </c>
      <c r="P98" s="301" t="str">
        <f>VLOOKUP(H98,'3-Productie normen'!A:L,12,FALSE)</f>
        <v>L</v>
      </c>
      <c r="Q98" s="301"/>
      <c r="S98" s="302">
        <f t="shared" si="3"/>
        <v>0</v>
      </c>
    </row>
    <row r="99" spans="1:19" ht="14.15" customHeight="1">
      <c r="A99" s="71">
        <v>99</v>
      </c>
      <c r="B99" s="67" t="s">
        <v>203</v>
      </c>
      <c r="C99" s="467" t="s">
        <v>614</v>
      </c>
      <c r="D99" s="467" t="s">
        <v>720</v>
      </c>
      <c r="E99" s="67" t="s">
        <v>714</v>
      </c>
      <c r="F99" s="67" t="s">
        <v>281</v>
      </c>
      <c r="G99" s="67" t="s">
        <v>515</v>
      </c>
      <c r="H99" s="67" t="s">
        <v>609</v>
      </c>
      <c r="I99" s="67" t="s">
        <v>70</v>
      </c>
      <c r="J99" s="67" t="s">
        <v>70</v>
      </c>
      <c r="K99" s="67">
        <v>56</v>
      </c>
      <c r="L99" s="299">
        <f t="shared" si="2"/>
        <v>200</v>
      </c>
      <c r="M99" s="221">
        <v>200</v>
      </c>
      <c r="N99" s="220" t="e">
        <f>IF(OR(M99="nio",M99="eigen dienst"),0,IF(M99&gt;0,M99*K99/O99,0))*VLOOKUP(B99,'2-Kosten per locatie'!$A$14:$C$33,3,FALSE)</f>
        <v>#DIV/0!</v>
      </c>
      <c r="O99" s="300">
        <f>IF(OR(M99="nio",M99="eigen dienst"),0,IF(M99&gt;0,VLOOKUP(H99,'3-Productie normen'!A:J,VLOOKUP(M99,'3-Productie normen'!$B$34:$C$35,2,FALSE),FALSE)))</f>
        <v>0</v>
      </c>
      <c r="P99" s="301" t="str">
        <f>VLOOKUP(H99,'3-Productie normen'!A:L,12,FALSE)</f>
        <v>L</v>
      </c>
      <c r="Q99" s="301"/>
      <c r="S99" s="302">
        <f t="shared" si="3"/>
        <v>11200</v>
      </c>
    </row>
    <row r="100" spans="1:19" ht="14.15" customHeight="1">
      <c r="A100" s="71">
        <v>100</v>
      </c>
      <c r="B100" s="67" t="s">
        <v>203</v>
      </c>
      <c r="C100" s="467" t="s">
        <v>614</v>
      </c>
      <c r="D100" s="467" t="s">
        <v>720</v>
      </c>
      <c r="E100" s="67" t="s">
        <v>714</v>
      </c>
      <c r="F100" s="67" t="s">
        <v>282</v>
      </c>
      <c r="G100" s="67" t="s">
        <v>514</v>
      </c>
      <c r="H100" s="67" t="s">
        <v>37</v>
      </c>
      <c r="I100" s="67" t="s">
        <v>601</v>
      </c>
      <c r="J100" s="67" t="s">
        <v>179</v>
      </c>
      <c r="K100" s="67">
        <v>7.8</v>
      </c>
      <c r="L100" s="299">
        <f t="shared" si="2"/>
        <v>200</v>
      </c>
      <c r="M100" s="221">
        <v>200</v>
      </c>
      <c r="N100" s="220" t="e">
        <f>IF(OR(M100="nio",M100="eigen dienst"),0,IF(M100&gt;0,M100*K100/O100,0))*VLOOKUP(B100,'2-Kosten per locatie'!$A$14:$C$33,3,FALSE)</f>
        <v>#DIV/0!</v>
      </c>
      <c r="O100" s="300">
        <f>IF(OR(M100="nio",M100="eigen dienst"),0,IF(M100&gt;0,VLOOKUP(H100,'3-Productie normen'!A:J,VLOOKUP(M100,'3-Productie normen'!$B$34:$C$35,2,FALSE),FALSE)))</f>
        <v>0</v>
      </c>
      <c r="P100" s="301" t="str">
        <f>VLOOKUP(H100,'3-Productie normen'!A:L,12,FALSE)</f>
        <v>S</v>
      </c>
      <c r="Q100" s="301"/>
      <c r="S100" s="302">
        <f t="shared" si="3"/>
        <v>1560</v>
      </c>
    </row>
    <row r="101" spans="1:19" ht="14.15" customHeight="1">
      <c r="A101" s="71">
        <v>101</v>
      </c>
      <c r="B101" s="67" t="s">
        <v>203</v>
      </c>
      <c r="C101" s="467" t="s">
        <v>614</v>
      </c>
      <c r="D101" s="467" t="s">
        <v>720</v>
      </c>
      <c r="E101" s="67" t="s">
        <v>714</v>
      </c>
      <c r="F101" s="67" t="s">
        <v>283</v>
      </c>
      <c r="G101" s="67" t="s">
        <v>515</v>
      </c>
      <c r="H101" s="67" t="s">
        <v>609</v>
      </c>
      <c r="I101" s="67" t="s">
        <v>70</v>
      </c>
      <c r="J101" s="67" t="s">
        <v>70</v>
      </c>
      <c r="K101" s="67">
        <v>56</v>
      </c>
      <c r="L101" s="299">
        <f t="shared" si="2"/>
        <v>200</v>
      </c>
      <c r="M101" s="221">
        <v>200</v>
      </c>
      <c r="N101" s="220" t="e">
        <f>IF(OR(M101="nio",M101="eigen dienst"),0,IF(M101&gt;0,M101*K101/O101,0))*VLOOKUP(B101,'2-Kosten per locatie'!$A$14:$C$33,3,FALSE)</f>
        <v>#DIV/0!</v>
      </c>
      <c r="O101" s="300">
        <f>IF(OR(M101="nio",M101="eigen dienst"),0,IF(M101&gt;0,VLOOKUP(H101,'3-Productie normen'!A:J,VLOOKUP(M101,'3-Productie normen'!$B$34:$C$35,2,FALSE),FALSE)))</f>
        <v>0</v>
      </c>
      <c r="P101" s="301" t="str">
        <f>VLOOKUP(H101,'3-Productie normen'!A:L,12,FALSE)</f>
        <v>L</v>
      </c>
      <c r="Q101" s="301"/>
      <c r="S101" s="302">
        <f t="shared" si="3"/>
        <v>11200</v>
      </c>
    </row>
    <row r="102" spans="1:19" ht="14.15" customHeight="1">
      <c r="A102" s="71">
        <v>102</v>
      </c>
      <c r="B102" s="67" t="s">
        <v>203</v>
      </c>
      <c r="C102" s="467" t="s">
        <v>614</v>
      </c>
      <c r="D102" s="467" t="s">
        <v>720</v>
      </c>
      <c r="E102" s="67" t="s">
        <v>714</v>
      </c>
      <c r="F102" s="67" t="s">
        <v>284</v>
      </c>
      <c r="G102" s="67" t="s">
        <v>516</v>
      </c>
      <c r="H102" s="67" t="s">
        <v>35</v>
      </c>
      <c r="I102" s="67" t="s">
        <v>70</v>
      </c>
      <c r="J102" s="67" t="s">
        <v>70</v>
      </c>
      <c r="K102" s="67">
        <v>11.7</v>
      </c>
      <c r="L102" s="299">
        <f t="shared" si="2"/>
        <v>200</v>
      </c>
      <c r="M102" s="221">
        <v>200</v>
      </c>
      <c r="N102" s="220" t="e">
        <f>IF(OR(M102="nio",M102="eigen dienst"),0,IF(M102&gt;0,M102*K102/O102,0))*VLOOKUP(B102,'2-Kosten per locatie'!$A$14:$C$33,3,FALSE)</f>
        <v>#DIV/0!</v>
      </c>
      <c r="O102" s="300">
        <f>IF(OR(M102="nio",M102="eigen dienst"),0,IF(M102&gt;0,VLOOKUP(H102,'3-Productie normen'!A:J,VLOOKUP(M102,'3-Productie normen'!$B$34:$C$35,2,FALSE),FALSE)))</f>
        <v>0</v>
      </c>
      <c r="P102" s="301" t="str">
        <f>VLOOKUP(H102,'3-Productie normen'!A:L,12,FALSE)</f>
        <v>B</v>
      </c>
      <c r="Q102" s="301"/>
      <c r="S102" s="302">
        <f t="shared" si="3"/>
        <v>2340</v>
      </c>
    </row>
    <row r="103" spans="1:19" ht="14.15" customHeight="1">
      <c r="A103" s="71">
        <v>103</v>
      </c>
      <c r="B103" s="67" t="s">
        <v>203</v>
      </c>
      <c r="C103" s="467" t="s">
        <v>614</v>
      </c>
      <c r="D103" s="467" t="s">
        <v>720</v>
      </c>
      <c r="E103" s="67" t="s">
        <v>714</v>
      </c>
      <c r="F103" s="67" t="s">
        <v>267</v>
      </c>
      <c r="G103" s="67" t="s">
        <v>515</v>
      </c>
      <c r="H103" s="67" t="s">
        <v>609</v>
      </c>
      <c r="I103" s="67" t="s">
        <v>70</v>
      </c>
      <c r="J103" s="67" t="s">
        <v>70</v>
      </c>
      <c r="K103" s="67">
        <v>23.5</v>
      </c>
      <c r="L103" s="299">
        <f t="shared" si="2"/>
        <v>200</v>
      </c>
      <c r="M103" s="221">
        <v>200</v>
      </c>
      <c r="N103" s="220" t="e">
        <f>IF(OR(M103="nio",M103="eigen dienst"),0,IF(M103&gt;0,M103*K103/O103,0))*VLOOKUP(B103,'2-Kosten per locatie'!$A$14:$C$33,3,FALSE)</f>
        <v>#DIV/0!</v>
      </c>
      <c r="O103" s="300">
        <f>IF(OR(M103="nio",M103="eigen dienst"),0,IF(M103&gt;0,VLOOKUP(H103,'3-Productie normen'!A:J,VLOOKUP(M103,'3-Productie normen'!$B$34:$C$35,2,FALSE),FALSE)))</f>
        <v>0</v>
      </c>
      <c r="P103" s="301" t="str">
        <f>VLOOKUP(H103,'3-Productie normen'!A:L,12,FALSE)</f>
        <v>L</v>
      </c>
      <c r="Q103" s="301"/>
      <c r="S103" s="302">
        <f t="shared" si="3"/>
        <v>4700</v>
      </c>
    </row>
    <row r="104" spans="1:19" ht="14.15" customHeight="1">
      <c r="A104" s="71">
        <v>104</v>
      </c>
      <c r="B104" s="67" t="s">
        <v>203</v>
      </c>
      <c r="C104" s="467" t="s">
        <v>614</v>
      </c>
      <c r="D104" s="467" t="s">
        <v>720</v>
      </c>
      <c r="E104" s="67" t="s">
        <v>714</v>
      </c>
      <c r="F104" s="67" t="s">
        <v>285</v>
      </c>
      <c r="G104" s="67" t="s">
        <v>516</v>
      </c>
      <c r="H104" s="67" t="s">
        <v>35</v>
      </c>
      <c r="I104" s="67" t="s">
        <v>70</v>
      </c>
      <c r="J104" s="67" t="s">
        <v>70</v>
      </c>
      <c r="K104" s="67">
        <v>16.3</v>
      </c>
      <c r="L104" s="299">
        <f t="shared" si="2"/>
        <v>200</v>
      </c>
      <c r="M104" s="221">
        <v>200</v>
      </c>
      <c r="N104" s="220" t="e">
        <f>IF(OR(M104="nio",M104="eigen dienst"),0,IF(M104&gt;0,M104*K104/O104,0))*VLOOKUP(B104,'2-Kosten per locatie'!$A$14:$C$33,3,FALSE)</f>
        <v>#DIV/0!</v>
      </c>
      <c r="O104" s="300">
        <f>IF(OR(M104="nio",M104="eigen dienst"),0,IF(M104&gt;0,VLOOKUP(H104,'3-Productie normen'!A:J,VLOOKUP(M104,'3-Productie normen'!$B$34:$C$35,2,FALSE),FALSE)))</f>
        <v>0</v>
      </c>
      <c r="P104" s="301" t="str">
        <f>VLOOKUP(H104,'3-Productie normen'!A:L,12,FALSE)</f>
        <v>B</v>
      </c>
      <c r="Q104" s="301"/>
      <c r="S104" s="302">
        <f t="shared" si="3"/>
        <v>3260</v>
      </c>
    </row>
    <row r="105" spans="1:19" ht="14.15" customHeight="1">
      <c r="A105" s="71">
        <v>105</v>
      </c>
      <c r="B105" s="67" t="s">
        <v>203</v>
      </c>
      <c r="C105" s="467" t="s">
        <v>614</v>
      </c>
      <c r="D105" s="467" t="s">
        <v>720</v>
      </c>
      <c r="E105" s="67" t="s">
        <v>714</v>
      </c>
      <c r="F105" s="67" t="s">
        <v>286</v>
      </c>
      <c r="G105" s="67" t="s">
        <v>523</v>
      </c>
      <c r="H105" s="67" t="s">
        <v>630</v>
      </c>
      <c r="I105" s="67" t="s">
        <v>70</v>
      </c>
      <c r="J105" s="67" t="s">
        <v>70</v>
      </c>
      <c r="K105" s="67">
        <v>0</v>
      </c>
      <c r="L105" s="299">
        <f t="shared" si="2"/>
        <v>0</v>
      </c>
      <c r="M105" s="221" t="s">
        <v>629</v>
      </c>
      <c r="N105" s="220">
        <f>IF(OR(M105="nio",M105="eigen dienst"),0,IF(M105&gt;0,M105*K105/O105,0))*VLOOKUP(B105,'2-Kosten per locatie'!$A$14:$C$33,3,FALSE)</f>
        <v>0</v>
      </c>
      <c r="O105" s="300">
        <f>IF(OR(M105="nio",M105="eigen dienst"),0,IF(M105&gt;0,VLOOKUP(H105,'3-Productie normen'!A:J,VLOOKUP(M105,'3-Productie normen'!$B$34:$C$35,2,FALSE),FALSE)))</f>
        <v>0</v>
      </c>
      <c r="P105" s="301">
        <f>VLOOKUP(H105,'3-Productie normen'!A:L,12,FALSE)</f>
        <v>0</v>
      </c>
      <c r="Q105" s="301"/>
      <c r="S105" s="302">
        <f t="shared" si="3"/>
        <v>0</v>
      </c>
    </row>
    <row r="106" spans="1:19" ht="14.15" customHeight="1">
      <c r="A106" s="71">
        <v>106</v>
      </c>
      <c r="B106" s="67" t="s">
        <v>203</v>
      </c>
      <c r="C106" s="467" t="s">
        <v>614</v>
      </c>
      <c r="D106" s="467" t="s">
        <v>720</v>
      </c>
      <c r="E106" s="67" t="s">
        <v>714</v>
      </c>
      <c r="F106" s="67" t="s">
        <v>287</v>
      </c>
      <c r="G106" s="67" t="s">
        <v>518</v>
      </c>
      <c r="H106" s="67" t="s">
        <v>630</v>
      </c>
      <c r="I106" s="67" t="s">
        <v>70</v>
      </c>
      <c r="J106" s="67" t="s">
        <v>70</v>
      </c>
      <c r="K106" s="67">
        <v>0</v>
      </c>
      <c r="L106" s="299">
        <f t="shared" si="2"/>
        <v>0</v>
      </c>
      <c r="M106" s="221" t="s">
        <v>629</v>
      </c>
      <c r="N106" s="220">
        <f>IF(OR(M106="nio",M106="eigen dienst"),0,IF(M106&gt;0,M106*K106/O106,0))*VLOOKUP(B106,'2-Kosten per locatie'!$A$14:$C$33,3,FALSE)</f>
        <v>0</v>
      </c>
      <c r="O106" s="300">
        <f>IF(OR(M106="nio",M106="eigen dienst"),0,IF(M106&gt;0,VLOOKUP(H106,'3-Productie normen'!A:J,VLOOKUP(M106,'3-Productie normen'!$B$34:$C$35,2,FALSE),FALSE)))</f>
        <v>0</v>
      </c>
      <c r="P106" s="301">
        <f>VLOOKUP(H106,'3-Productie normen'!A:L,12,FALSE)</f>
        <v>0</v>
      </c>
      <c r="Q106" s="301"/>
      <c r="S106" s="302">
        <f t="shared" si="3"/>
        <v>0</v>
      </c>
    </row>
    <row r="107" spans="1:19" ht="14.15" customHeight="1">
      <c r="A107" s="71">
        <v>107</v>
      </c>
      <c r="B107" s="67" t="s">
        <v>203</v>
      </c>
      <c r="C107" s="467" t="s">
        <v>614</v>
      </c>
      <c r="D107" s="467" t="s">
        <v>720</v>
      </c>
      <c r="E107" s="67" t="s">
        <v>714</v>
      </c>
      <c r="F107" s="67" t="s">
        <v>268</v>
      </c>
      <c r="G107" s="67" t="s">
        <v>518</v>
      </c>
      <c r="H107" s="67" t="s">
        <v>630</v>
      </c>
      <c r="I107" s="67" t="s">
        <v>70</v>
      </c>
      <c r="J107" s="67" t="s">
        <v>70</v>
      </c>
      <c r="K107" s="67">
        <v>0</v>
      </c>
      <c r="L107" s="299">
        <f t="shared" si="2"/>
        <v>0</v>
      </c>
      <c r="M107" s="221" t="s">
        <v>629</v>
      </c>
      <c r="N107" s="220">
        <f>IF(OR(M107="nio",M107="eigen dienst"),0,IF(M107&gt;0,M107*K107/O107,0))*VLOOKUP(B107,'2-Kosten per locatie'!$A$14:$C$33,3,FALSE)</f>
        <v>0</v>
      </c>
      <c r="O107" s="300">
        <f>IF(OR(M107="nio",M107="eigen dienst"),0,IF(M107&gt;0,VLOOKUP(H107,'3-Productie normen'!A:J,VLOOKUP(M107,'3-Productie normen'!$B$34:$C$35,2,FALSE),FALSE)))</f>
        <v>0</v>
      </c>
      <c r="P107" s="301">
        <f>VLOOKUP(H107,'3-Productie normen'!A:L,12,FALSE)</f>
        <v>0</v>
      </c>
      <c r="Q107" s="301"/>
      <c r="S107" s="302">
        <f t="shared" si="3"/>
        <v>0</v>
      </c>
    </row>
    <row r="108" spans="1:19" ht="14.15" customHeight="1">
      <c r="A108" s="71">
        <v>108</v>
      </c>
      <c r="B108" s="67" t="s">
        <v>203</v>
      </c>
      <c r="C108" s="467" t="s">
        <v>614</v>
      </c>
      <c r="D108" s="467" t="s">
        <v>720</v>
      </c>
      <c r="E108" s="67" t="s">
        <v>714</v>
      </c>
      <c r="F108" s="67" t="s">
        <v>269</v>
      </c>
      <c r="G108" s="67" t="s">
        <v>523</v>
      </c>
      <c r="H108" s="67" t="s">
        <v>630</v>
      </c>
      <c r="I108" s="67" t="s">
        <v>70</v>
      </c>
      <c r="J108" s="67" t="s">
        <v>70</v>
      </c>
      <c r="K108" s="67">
        <v>0</v>
      </c>
      <c r="L108" s="299">
        <f t="shared" si="2"/>
        <v>0</v>
      </c>
      <c r="M108" s="221" t="s">
        <v>629</v>
      </c>
      <c r="N108" s="220">
        <f>IF(OR(M108="nio",M108="eigen dienst"),0,IF(M108&gt;0,M108*K108/O108,0))*VLOOKUP(B108,'2-Kosten per locatie'!$A$14:$C$33,3,FALSE)</f>
        <v>0</v>
      </c>
      <c r="O108" s="300">
        <f>IF(OR(M108="nio",M108="eigen dienst"),0,IF(M108&gt;0,VLOOKUP(H108,'3-Productie normen'!A:J,VLOOKUP(M108,'3-Productie normen'!$B$34:$C$35,2,FALSE),FALSE)))</f>
        <v>0</v>
      </c>
      <c r="P108" s="301">
        <f>VLOOKUP(H108,'3-Productie normen'!A:L,12,FALSE)</f>
        <v>0</v>
      </c>
      <c r="Q108" s="301"/>
      <c r="S108" s="302">
        <f t="shared" si="3"/>
        <v>0</v>
      </c>
    </row>
    <row r="109" spans="1:19" ht="14.15" customHeight="1">
      <c r="A109" s="71">
        <v>109</v>
      </c>
      <c r="B109" s="67" t="s">
        <v>203</v>
      </c>
      <c r="C109" s="467" t="s">
        <v>614</v>
      </c>
      <c r="D109" s="467" t="s">
        <v>720</v>
      </c>
      <c r="E109" s="67" t="s">
        <v>714</v>
      </c>
      <c r="F109" s="67" t="s">
        <v>270</v>
      </c>
      <c r="G109" s="67" t="s">
        <v>515</v>
      </c>
      <c r="H109" s="67" t="s">
        <v>609</v>
      </c>
      <c r="I109" s="67" t="s">
        <v>70</v>
      </c>
      <c r="J109" s="67" t="s">
        <v>70</v>
      </c>
      <c r="K109" s="67">
        <v>56</v>
      </c>
      <c r="L109" s="299">
        <f t="shared" si="2"/>
        <v>200</v>
      </c>
      <c r="M109" s="221">
        <v>200</v>
      </c>
      <c r="N109" s="220" t="e">
        <f>IF(OR(M109="nio",M109="eigen dienst"),0,IF(M109&gt;0,M109*K109/O109,0))*VLOOKUP(B109,'2-Kosten per locatie'!$A$14:$C$33,3,FALSE)</f>
        <v>#DIV/0!</v>
      </c>
      <c r="O109" s="300">
        <f>IF(OR(M109="nio",M109="eigen dienst"),0,IF(M109&gt;0,VLOOKUP(H109,'3-Productie normen'!A:J,VLOOKUP(M109,'3-Productie normen'!$B$34:$C$35,2,FALSE),FALSE)))</f>
        <v>0</v>
      </c>
      <c r="P109" s="301" t="str">
        <f>VLOOKUP(H109,'3-Productie normen'!A:L,12,FALSE)</f>
        <v>L</v>
      </c>
      <c r="Q109" s="301"/>
      <c r="S109" s="302">
        <f t="shared" si="3"/>
        <v>11200</v>
      </c>
    </row>
    <row r="110" spans="1:19" ht="14.15" customHeight="1">
      <c r="A110" s="71">
        <v>110</v>
      </c>
      <c r="B110" s="67" t="s">
        <v>203</v>
      </c>
      <c r="C110" s="467" t="s">
        <v>614</v>
      </c>
      <c r="D110" s="467" t="s">
        <v>720</v>
      </c>
      <c r="E110" s="67" t="s">
        <v>714</v>
      </c>
      <c r="F110" s="67" t="s">
        <v>271</v>
      </c>
      <c r="G110" s="67" t="s">
        <v>522</v>
      </c>
      <c r="H110" s="67" t="s">
        <v>630</v>
      </c>
      <c r="I110" s="67" t="s">
        <v>70</v>
      </c>
      <c r="J110" s="67" t="s">
        <v>70</v>
      </c>
      <c r="K110" s="67">
        <v>1.8</v>
      </c>
      <c r="L110" s="299">
        <f t="shared" si="2"/>
        <v>0</v>
      </c>
      <c r="M110" s="221" t="s">
        <v>629</v>
      </c>
      <c r="N110" s="220">
        <f>IF(OR(M110="nio",M110="eigen dienst"),0,IF(M110&gt;0,M110*K110/O110,0))*VLOOKUP(B110,'2-Kosten per locatie'!$A$14:$C$33,3,FALSE)</f>
        <v>0</v>
      </c>
      <c r="O110" s="300">
        <f>IF(OR(M110="nio",M110="eigen dienst"),0,IF(M110&gt;0,VLOOKUP(H110,'3-Productie normen'!A:J,VLOOKUP(M110,'3-Productie normen'!$B$34:$C$35,2,FALSE),FALSE)))</f>
        <v>0</v>
      </c>
      <c r="P110" s="301">
        <f>VLOOKUP(H110,'3-Productie normen'!A:L,12,FALSE)</f>
        <v>0</v>
      </c>
      <c r="Q110" s="301"/>
      <c r="S110" s="302">
        <f t="shared" si="3"/>
        <v>0</v>
      </c>
    </row>
    <row r="111" spans="1:19" ht="14.15" customHeight="1">
      <c r="A111" s="71">
        <v>111</v>
      </c>
      <c r="B111" s="67" t="s">
        <v>203</v>
      </c>
      <c r="C111" s="467" t="s">
        <v>614</v>
      </c>
      <c r="D111" s="467" t="s">
        <v>720</v>
      </c>
      <c r="E111" s="67" t="s">
        <v>714</v>
      </c>
      <c r="F111" s="67" t="s">
        <v>272</v>
      </c>
      <c r="G111" s="67" t="s">
        <v>514</v>
      </c>
      <c r="H111" s="67" t="s">
        <v>37</v>
      </c>
      <c r="I111" s="67" t="s">
        <v>601</v>
      </c>
      <c r="J111" s="67" t="s">
        <v>179</v>
      </c>
      <c r="K111" s="67">
        <v>1.8</v>
      </c>
      <c r="L111" s="299">
        <f t="shared" si="2"/>
        <v>200</v>
      </c>
      <c r="M111" s="221">
        <v>200</v>
      </c>
      <c r="N111" s="220" t="e">
        <f>IF(OR(M111="nio",M111="eigen dienst"),0,IF(M111&gt;0,M111*K111/O111,0))*VLOOKUP(B111,'2-Kosten per locatie'!$A$14:$C$33,3,FALSE)</f>
        <v>#DIV/0!</v>
      </c>
      <c r="O111" s="300">
        <f>IF(OR(M111="nio",M111="eigen dienst"),0,IF(M111&gt;0,VLOOKUP(H111,'3-Productie normen'!A:J,VLOOKUP(M111,'3-Productie normen'!$B$34:$C$35,2,FALSE),FALSE)))</f>
        <v>0</v>
      </c>
      <c r="P111" s="301" t="str">
        <f>VLOOKUP(H111,'3-Productie normen'!A:L,12,FALSE)</f>
        <v>S</v>
      </c>
      <c r="Q111" s="301"/>
      <c r="S111" s="302">
        <f t="shared" si="3"/>
        <v>360</v>
      </c>
    </row>
    <row r="112" spans="1:19" ht="14.15" customHeight="1">
      <c r="A112" s="71">
        <v>112</v>
      </c>
      <c r="B112" s="67" t="s">
        <v>203</v>
      </c>
      <c r="C112" s="467" t="s">
        <v>614</v>
      </c>
      <c r="D112" s="467" t="s">
        <v>720</v>
      </c>
      <c r="E112" s="67" t="s">
        <v>714</v>
      </c>
      <c r="F112" s="67" t="s">
        <v>273</v>
      </c>
      <c r="G112" s="67" t="s">
        <v>514</v>
      </c>
      <c r="H112" s="67" t="s">
        <v>37</v>
      </c>
      <c r="I112" s="67" t="s">
        <v>601</v>
      </c>
      <c r="J112" s="67" t="s">
        <v>179</v>
      </c>
      <c r="K112" s="67">
        <v>1.8</v>
      </c>
      <c r="L112" s="299">
        <f t="shared" si="2"/>
        <v>200</v>
      </c>
      <c r="M112" s="221">
        <v>200</v>
      </c>
      <c r="N112" s="220" t="e">
        <f>IF(OR(M112="nio",M112="eigen dienst"),0,IF(M112&gt;0,M112*K112/O112,0))*VLOOKUP(B112,'2-Kosten per locatie'!$A$14:$C$33,3,FALSE)</f>
        <v>#DIV/0!</v>
      </c>
      <c r="O112" s="300">
        <f>IF(OR(M112="nio",M112="eigen dienst"),0,IF(M112&gt;0,VLOOKUP(H112,'3-Productie normen'!A:J,VLOOKUP(M112,'3-Productie normen'!$B$34:$C$35,2,FALSE),FALSE)))</f>
        <v>0</v>
      </c>
      <c r="P112" s="301" t="str">
        <f>VLOOKUP(H112,'3-Productie normen'!A:L,12,FALSE)</f>
        <v>S</v>
      </c>
      <c r="Q112" s="301"/>
      <c r="S112" s="302">
        <f t="shared" si="3"/>
        <v>360</v>
      </c>
    </row>
    <row r="113" spans="1:19" ht="14.15" customHeight="1">
      <c r="A113" s="71">
        <v>113</v>
      </c>
      <c r="B113" s="67" t="s">
        <v>203</v>
      </c>
      <c r="C113" s="467" t="s">
        <v>614</v>
      </c>
      <c r="D113" s="467" t="s">
        <v>720</v>
      </c>
      <c r="E113" s="67" t="s">
        <v>714</v>
      </c>
      <c r="F113" s="67" t="s">
        <v>274</v>
      </c>
      <c r="G113" s="67" t="s">
        <v>515</v>
      </c>
      <c r="H113" s="67" t="s">
        <v>609</v>
      </c>
      <c r="I113" s="67" t="s">
        <v>70</v>
      </c>
      <c r="J113" s="67" t="s">
        <v>70</v>
      </c>
      <c r="K113" s="67">
        <v>56</v>
      </c>
      <c r="L113" s="299">
        <f t="shared" si="2"/>
        <v>200</v>
      </c>
      <c r="M113" s="221">
        <v>200</v>
      </c>
      <c r="N113" s="220" t="e">
        <f>IF(OR(M113="nio",M113="eigen dienst"),0,IF(M113&gt;0,M113*K113/O113,0))*VLOOKUP(B113,'2-Kosten per locatie'!$A$14:$C$33,3,FALSE)</f>
        <v>#DIV/0!</v>
      </c>
      <c r="O113" s="300">
        <f>IF(OR(M113="nio",M113="eigen dienst"),0,IF(M113&gt;0,VLOOKUP(H113,'3-Productie normen'!A:J,VLOOKUP(M113,'3-Productie normen'!$B$34:$C$35,2,FALSE),FALSE)))</f>
        <v>0</v>
      </c>
      <c r="P113" s="301" t="str">
        <f>VLOOKUP(H113,'3-Productie normen'!A:L,12,FALSE)</f>
        <v>L</v>
      </c>
      <c r="Q113" s="301"/>
      <c r="S113" s="302">
        <f t="shared" si="3"/>
        <v>11200</v>
      </c>
    </row>
    <row r="114" spans="1:19" ht="14.15" customHeight="1">
      <c r="A114" s="71">
        <v>114</v>
      </c>
      <c r="B114" s="67" t="s">
        <v>205</v>
      </c>
      <c r="C114" s="467" t="s">
        <v>616</v>
      </c>
      <c r="D114" s="467" t="s">
        <v>720</v>
      </c>
      <c r="E114" s="67" t="s">
        <v>713</v>
      </c>
      <c r="F114" s="67" t="s">
        <v>220</v>
      </c>
      <c r="G114" s="67" t="s">
        <v>47</v>
      </c>
      <c r="H114" s="67" t="s">
        <v>47</v>
      </c>
      <c r="I114" s="67" t="s">
        <v>597</v>
      </c>
      <c r="J114" s="67" t="s">
        <v>201</v>
      </c>
      <c r="K114" s="67">
        <v>3.8</v>
      </c>
      <c r="L114" s="299">
        <f t="shared" ref="L114:L143" si="4">SUM(M114:M114)</f>
        <v>200</v>
      </c>
      <c r="M114" s="221">
        <v>200</v>
      </c>
      <c r="N114" s="220" t="e">
        <f>IF(OR(M114="nio",M114="eigen dienst"),0,IF(M114&gt;0,M114*K114/O114,0))*VLOOKUP(B114,'2-Kosten per locatie'!$A$14:$C$33,3,FALSE)</f>
        <v>#DIV/0!</v>
      </c>
      <c r="O114" s="300">
        <f>IF(OR(M114="nio",M114="eigen dienst"),0,IF(M114&gt;0,VLOOKUP(H114,'3-Productie normen'!A:J,VLOOKUP(M114,'3-Productie normen'!$B$34:$C$35,2,FALSE),FALSE)))</f>
        <v>0</v>
      </c>
      <c r="P114" s="301" t="str">
        <f>VLOOKUP(H114,'3-Productie normen'!A:L,12,FALSE)</f>
        <v>V</v>
      </c>
      <c r="Q114" s="301"/>
      <c r="S114" s="302">
        <f t="shared" ref="S114:S143" si="5">L114*K114</f>
        <v>760</v>
      </c>
    </row>
    <row r="115" spans="1:19" ht="14.15" customHeight="1">
      <c r="A115" s="71">
        <v>115</v>
      </c>
      <c r="B115" s="67" t="s">
        <v>205</v>
      </c>
      <c r="C115" s="467" t="s">
        <v>616</v>
      </c>
      <c r="D115" s="467" t="s">
        <v>720</v>
      </c>
      <c r="E115" s="67" t="s">
        <v>713</v>
      </c>
      <c r="F115" s="67" t="s">
        <v>228</v>
      </c>
      <c r="G115" s="67" t="s">
        <v>520</v>
      </c>
      <c r="H115" s="67" t="s">
        <v>520</v>
      </c>
      <c r="I115" s="67" t="s">
        <v>70</v>
      </c>
      <c r="J115" s="67" t="s">
        <v>70</v>
      </c>
      <c r="K115" s="67">
        <v>75.8</v>
      </c>
      <c r="L115" s="299">
        <f t="shared" si="4"/>
        <v>200</v>
      </c>
      <c r="M115" s="221">
        <v>200</v>
      </c>
      <c r="N115" s="220" t="e">
        <f>IF(OR(M115="nio",M115="eigen dienst"),0,IF(M115&gt;0,M115*K115/O115,0))*VLOOKUP(B115,'2-Kosten per locatie'!$A$14:$C$33,3,FALSE)</f>
        <v>#DIV/0!</v>
      </c>
      <c r="O115" s="300">
        <f>IF(OR(M115="nio",M115="eigen dienst"),0,IF(M115&gt;0,VLOOKUP(H115,'3-Productie normen'!A:J,VLOOKUP(M115,'3-Productie normen'!$B$34:$C$35,2,FALSE),FALSE)))</f>
        <v>0</v>
      </c>
      <c r="P115" s="301" t="str">
        <f>VLOOKUP(H115,'3-Productie normen'!A:L,12,FALSE)</f>
        <v>V</v>
      </c>
      <c r="Q115" s="301"/>
      <c r="S115" s="302">
        <f t="shared" si="5"/>
        <v>15160</v>
      </c>
    </row>
    <row r="116" spans="1:19" ht="14.15" customHeight="1">
      <c r="A116" s="71">
        <v>116</v>
      </c>
      <c r="B116" s="67" t="s">
        <v>205</v>
      </c>
      <c r="C116" s="467" t="s">
        <v>616</v>
      </c>
      <c r="D116" s="467" t="s">
        <v>720</v>
      </c>
      <c r="E116" s="67" t="s">
        <v>713</v>
      </c>
      <c r="F116" s="67" t="s">
        <v>229</v>
      </c>
      <c r="G116" s="67" t="s">
        <v>512</v>
      </c>
      <c r="H116" s="67" t="s">
        <v>39</v>
      </c>
      <c r="I116" s="67" t="s">
        <v>70</v>
      </c>
      <c r="J116" s="67" t="s">
        <v>70</v>
      </c>
      <c r="K116" s="67">
        <v>19.690000000000001</v>
      </c>
      <c r="L116" s="299">
        <f t="shared" si="4"/>
        <v>200</v>
      </c>
      <c r="M116" s="221">
        <v>200</v>
      </c>
      <c r="N116" s="220" t="e">
        <f>IF(OR(M116="nio",M116="eigen dienst"),0,IF(M116&gt;0,M116*K116/O116,0))*VLOOKUP(B116,'2-Kosten per locatie'!$A$14:$C$33,3,FALSE)</f>
        <v>#DIV/0!</v>
      </c>
      <c r="O116" s="300">
        <f>IF(OR(M116="nio",M116="eigen dienst"),0,IF(M116&gt;0,VLOOKUP(H116,'3-Productie normen'!A:J,VLOOKUP(M116,'3-Productie normen'!$B$34:$C$35,2,FALSE),FALSE)))</f>
        <v>0</v>
      </c>
      <c r="P116" s="301" t="str">
        <f>VLOOKUP(H116,'3-Productie normen'!A:L,12,FALSE)</f>
        <v>V</v>
      </c>
      <c r="Q116" s="301"/>
      <c r="S116" s="302">
        <f t="shared" si="5"/>
        <v>3938.0000000000005</v>
      </c>
    </row>
    <row r="117" spans="1:19" ht="14.15" customHeight="1">
      <c r="A117" s="71">
        <v>117</v>
      </c>
      <c r="B117" s="67" t="s">
        <v>205</v>
      </c>
      <c r="C117" s="467" t="s">
        <v>616</v>
      </c>
      <c r="D117" s="467" t="s">
        <v>720</v>
      </c>
      <c r="E117" s="67" t="s">
        <v>713</v>
      </c>
      <c r="F117" s="67" t="s">
        <v>230</v>
      </c>
      <c r="G117" s="67" t="s">
        <v>514</v>
      </c>
      <c r="H117" s="67" t="s">
        <v>37</v>
      </c>
      <c r="I117" s="67" t="s">
        <v>601</v>
      </c>
      <c r="J117" s="67" t="s">
        <v>179</v>
      </c>
      <c r="K117" s="67">
        <v>3.4</v>
      </c>
      <c r="L117" s="299">
        <f t="shared" si="4"/>
        <v>200</v>
      </c>
      <c r="M117" s="221">
        <v>200</v>
      </c>
      <c r="N117" s="220" t="e">
        <f>IF(OR(M117="nio",M117="eigen dienst"),0,IF(M117&gt;0,M117*K117/O117,0))*VLOOKUP(B117,'2-Kosten per locatie'!$A$14:$C$33,3,FALSE)</f>
        <v>#DIV/0!</v>
      </c>
      <c r="O117" s="300">
        <f>IF(OR(M117="nio",M117="eigen dienst"),0,IF(M117&gt;0,VLOOKUP(H117,'3-Productie normen'!A:J,VLOOKUP(M117,'3-Productie normen'!$B$34:$C$35,2,FALSE),FALSE)))</f>
        <v>0</v>
      </c>
      <c r="P117" s="301" t="str">
        <f>VLOOKUP(H117,'3-Productie normen'!A:L,12,FALSE)</f>
        <v>S</v>
      </c>
      <c r="Q117" s="301"/>
      <c r="S117" s="302">
        <f t="shared" si="5"/>
        <v>680</v>
      </c>
    </row>
    <row r="118" spans="1:19" ht="14.15" customHeight="1">
      <c r="A118" s="71">
        <v>118</v>
      </c>
      <c r="B118" s="67" t="s">
        <v>205</v>
      </c>
      <c r="C118" s="467" t="s">
        <v>616</v>
      </c>
      <c r="D118" s="467" t="s">
        <v>720</v>
      </c>
      <c r="E118" s="67" t="s">
        <v>713</v>
      </c>
      <c r="F118" s="67" t="s">
        <v>231</v>
      </c>
      <c r="G118" s="67" t="s">
        <v>521</v>
      </c>
      <c r="H118" s="67" t="s">
        <v>43</v>
      </c>
      <c r="I118" s="67" t="s">
        <v>70</v>
      </c>
      <c r="J118" s="67" t="s">
        <v>70</v>
      </c>
      <c r="K118" s="67">
        <v>25.6</v>
      </c>
      <c r="L118" s="299">
        <f t="shared" si="4"/>
        <v>200</v>
      </c>
      <c r="M118" s="221">
        <v>200</v>
      </c>
      <c r="N118" s="220" t="e">
        <f>IF(OR(M118="nio",M118="eigen dienst"),0,IF(M118&gt;0,M118*K118/O118,0))*VLOOKUP(B118,'2-Kosten per locatie'!$A$14:$C$33,3,FALSE)</f>
        <v>#DIV/0!</v>
      </c>
      <c r="O118" s="300">
        <f>IF(OR(M118="nio",M118="eigen dienst"),0,IF(M118&gt;0,VLOOKUP(H118,'3-Productie normen'!A:J,VLOOKUP(M118,'3-Productie normen'!$B$34:$C$35,2,FALSE),FALSE)))</f>
        <v>0</v>
      </c>
      <c r="P118" s="301" t="str">
        <f>VLOOKUP(H118,'3-Productie normen'!A:L,12,FALSE)</f>
        <v>B</v>
      </c>
      <c r="Q118" s="301"/>
      <c r="S118" s="302">
        <f t="shared" si="5"/>
        <v>5120</v>
      </c>
    </row>
    <row r="119" spans="1:19" ht="14.15" customHeight="1">
      <c r="A119" s="71">
        <v>119</v>
      </c>
      <c r="B119" s="67" t="s">
        <v>205</v>
      </c>
      <c r="C119" s="467" t="s">
        <v>616</v>
      </c>
      <c r="D119" s="467" t="s">
        <v>720</v>
      </c>
      <c r="E119" s="67" t="s">
        <v>713</v>
      </c>
      <c r="F119" s="67" t="s">
        <v>232</v>
      </c>
      <c r="G119" s="67" t="s">
        <v>512</v>
      </c>
      <c r="H119" s="67" t="s">
        <v>39</v>
      </c>
      <c r="I119" s="67" t="s">
        <v>70</v>
      </c>
      <c r="J119" s="67" t="s">
        <v>70</v>
      </c>
      <c r="K119" s="67">
        <v>164.6</v>
      </c>
      <c r="L119" s="299">
        <f t="shared" si="4"/>
        <v>200</v>
      </c>
      <c r="M119" s="221">
        <v>200</v>
      </c>
      <c r="N119" s="220" t="e">
        <f>IF(OR(M119="nio",M119="eigen dienst"),0,IF(M119&gt;0,M119*K119/O119,0))*VLOOKUP(B119,'2-Kosten per locatie'!$A$14:$C$33,3,FALSE)</f>
        <v>#DIV/0!</v>
      </c>
      <c r="O119" s="300">
        <f>IF(OR(M119="nio",M119="eigen dienst"),0,IF(M119&gt;0,VLOOKUP(H119,'3-Productie normen'!A:J,VLOOKUP(M119,'3-Productie normen'!$B$34:$C$35,2,FALSE),FALSE)))</f>
        <v>0</v>
      </c>
      <c r="P119" s="301" t="str">
        <f>VLOOKUP(H119,'3-Productie normen'!A:L,12,FALSE)</f>
        <v>V</v>
      </c>
      <c r="Q119" s="301"/>
      <c r="S119" s="302">
        <f t="shared" si="5"/>
        <v>32920</v>
      </c>
    </row>
    <row r="120" spans="1:19" ht="14.15" customHeight="1">
      <c r="A120" s="71">
        <v>120</v>
      </c>
      <c r="B120" s="67" t="s">
        <v>205</v>
      </c>
      <c r="C120" s="467" t="s">
        <v>616</v>
      </c>
      <c r="D120" s="467" t="s">
        <v>720</v>
      </c>
      <c r="E120" s="67" t="s">
        <v>713</v>
      </c>
      <c r="F120" s="67" t="s">
        <v>233</v>
      </c>
      <c r="G120" s="67" t="s">
        <v>515</v>
      </c>
      <c r="H120" s="67" t="s">
        <v>609</v>
      </c>
      <c r="I120" s="67" t="s">
        <v>70</v>
      </c>
      <c r="J120" s="67" t="s">
        <v>70</v>
      </c>
      <c r="K120" s="67">
        <v>57.8</v>
      </c>
      <c r="L120" s="299">
        <f t="shared" si="4"/>
        <v>200</v>
      </c>
      <c r="M120" s="221">
        <v>200</v>
      </c>
      <c r="N120" s="220" t="e">
        <f>IF(OR(M120="nio",M120="eigen dienst"),0,IF(M120&gt;0,M120*K120/O120,0))*VLOOKUP(B120,'2-Kosten per locatie'!$A$14:$C$33,3,FALSE)</f>
        <v>#DIV/0!</v>
      </c>
      <c r="O120" s="300">
        <f>IF(OR(M120="nio",M120="eigen dienst"),0,IF(M120&gt;0,VLOOKUP(H120,'3-Productie normen'!A:J,VLOOKUP(M120,'3-Productie normen'!$B$34:$C$35,2,FALSE),FALSE)))</f>
        <v>0</v>
      </c>
      <c r="P120" s="301" t="str">
        <f>VLOOKUP(H120,'3-Productie normen'!A:L,12,FALSE)</f>
        <v>L</v>
      </c>
      <c r="Q120" s="301"/>
      <c r="S120" s="302">
        <f t="shared" si="5"/>
        <v>11560</v>
      </c>
    </row>
    <row r="121" spans="1:19" ht="14.15" customHeight="1">
      <c r="A121" s="71">
        <v>121</v>
      </c>
      <c r="B121" s="67" t="s">
        <v>205</v>
      </c>
      <c r="C121" s="467" t="s">
        <v>616</v>
      </c>
      <c r="D121" s="467" t="s">
        <v>720</v>
      </c>
      <c r="E121" s="67" t="s">
        <v>713</v>
      </c>
      <c r="F121" s="67" t="s">
        <v>234</v>
      </c>
      <c r="G121" s="67" t="s">
        <v>515</v>
      </c>
      <c r="H121" s="67" t="s">
        <v>609</v>
      </c>
      <c r="I121" s="67" t="s">
        <v>70</v>
      </c>
      <c r="J121" s="67" t="s">
        <v>70</v>
      </c>
      <c r="K121" s="67">
        <v>57.8</v>
      </c>
      <c r="L121" s="299">
        <f t="shared" si="4"/>
        <v>200</v>
      </c>
      <c r="M121" s="221">
        <v>200</v>
      </c>
      <c r="N121" s="220" t="e">
        <f>IF(OR(M121="nio",M121="eigen dienst"),0,IF(M121&gt;0,M121*K121/O121,0))*VLOOKUP(B121,'2-Kosten per locatie'!$A$14:$C$33,3,FALSE)</f>
        <v>#DIV/0!</v>
      </c>
      <c r="O121" s="300">
        <f>IF(OR(M121="nio",M121="eigen dienst"),0,IF(M121&gt;0,VLOOKUP(H121,'3-Productie normen'!A:J,VLOOKUP(M121,'3-Productie normen'!$B$34:$C$35,2,FALSE),FALSE)))</f>
        <v>0</v>
      </c>
      <c r="P121" s="301" t="str">
        <f>VLOOKUP(H121,'3-Productie normen'!A:L,12,FALSE)</f>
        <v>L</v>
      </c>
      <c r="Q121" s="301"/>
      <c r="S121" s="302">
        <f t="shared" si="5"/>
        <v>11560</v>
      </c>
    </row>
    <row r="122" spans="1:19" ht="14.15" customHeight="1">
      <c r="A122" s="71">
        <v>122</v>
      </c>
      <c r="B122" s="67" t="s">
        <v>205</v>
      </c>
      <c r="C122" s="467" t="s">
        <v>616</v>
      </c>
      <c r="D122" s="467" t="s">
        <v>720</v>
      </c>
      <c r="E122" s="67" t="s">
        <v>713</v>
      </c>
      <c r="F122" s="67" t="s">
        <v>235</v>
      </c>
      <c r="G122" s="67" t="s">
        <v>514</v>
      </c>
      <c r="H122" s="67" t="s">
        <v>37</v>
      </c>
      <c r="I122" s="67" t="s">
        <v>601</v>
      </c>
      <c r="J122" s="67" t="s">
        <v>179</v>
      </c>
      <c r="K122" s="67">
        <v>15.79</v>
      </c>
      <c r="L122" s="299">
        <f t="shared" si="4"/>
        <v>200</v>
      </c>
      <c r="M122" s="221">
        <v>200</v>
      </c>
      <c r="N122" s="220" t="e">
        <f>IF(OR(M122="nio",M122="eigen dienst"),0,IF(M122&gt;0,M122*K122/O122,0))*VLOOKUP(B122,'2-Kosten per locatie'!$A$14:$C$33,3,FALSE)</f>
        <v>#DIV/0!</v>
      </c>
      <c r="O122" s="300">
        <f>IF(OR(M122="nio",M122="eigen dienst"),0,IF(M122&gt;0,VLOOKUP(H122,'3-Productie normen'!A:J,VLOOKUP(M122,'3-Productie normen'!$B$34:$C$35,2,FALSE),FALSE)))</f>
        <v>0</v>
      </c>
      <c r="P122" s="301" t="str">
        <f>VLOOKUP(H122,'3-Productie normen'!A:L,12,FALSE)</f>
        <v>S</v>
      </c>
      <c r="Q122" s="301"/>
      <c r="S122" s="302">
        <f t="shared" si="5"/>
        <v>3158</v>
      </c>
    </row>
    <row r="123" spans="1:19" ht="14.15" customHeight="1">
      <c r="A123" s="71">
        <v>123</v>
      </c>
      <c r="B123" s="67" t="s">
        <v>205</v>
      </c>
      <c r="C123" s="467" t="s">
        <v>616</v>
      </c>
      <c r="D123" s="467" t="s">
        <v>720</v>
      </c>
      <c r="E123" s="67" t="s">
        <v>713</v>
      </c>
      <c r="F123" s="67" t="s">
        <v>236</v>
      </c>
      <c r="G123" s="67" t="s">
        <v>514</v>
      </c>
      <c r="H123" s="67" t="s">
        <v>37</v>
      </c>
      <c r="I123" s="67" t="s">
        <v>601</v>
      </c>
      <c r="J123" s="67" t="s">
        <v>179</v>
      </c>
      <c r="K123" s="67">
        <v>4.51</v>
      </c>
      <c r="L123" s="299">
        <f t="shared" si="4"/>
        <v>200</v>
      </c>
      <c r="M123" s="221">
        <v>200</v>
      </c>
      <c r="N123" s="220" t="e">
        <f>IF(OR(M123="nio",M123="eigen dienst"),0,IF(M123&gt;0,M123*K123/O123,0))*VLOOKUP(B123,'2-Kosten per locatie'!$A$14:$C$33,3,FALSE)</f>
        <v>#DIV/0!</v>
      </c>
      <c r="O123" s="300">
        <f>IF(OR(M123="nio",M123="eigen dienst"),0,IF(M123&gt;0,VLOOKUP(H123,'3-Productie normen'!A:J,VLOOKUP(M123,'3-Productie normen'!$B$34:$C$35,2,FALSE),FALSE)))</f>
        <v>0</v>
      </c>
      <c r="P123" s="301" t="str">
        <f>VLOOKUP(H123,'3-Productie normen'!A:L,12,FALSE)</f>
        <v>S</v>
      </c>
      <c r="Q123" s="301"/>
      <c r="S123" s="302">
        <f t="shared" si="5"/>
        <v>902</v>
      </c>
    </row>
    <row r="124" spans="1:19" ht="14.15" customHeight="1">
      <c r="A124" s="71">
        <v>124</v>
      </c>
      <c r="B124" s="67" t="s">
        <v>205</v>
      </c>
      <c r="C124" s="467" t="s">
        <v>616</v>
      </c>
      <c r="D124" s="467" t="s">
        <v>720</v>
      </c>
      <c r="E124" s="67" t="s">
        <v>713</v>
      </c>
      <c r="F124" s="67" t="s">
        <v>237</v>
      </c>
      <c r="G124" s="67" t="s">
        <v>515</v>
      </c>
      <c r="H124" s="67" t="s">
        <v>609</v>
      </c>
      <c r="I124" s="67" t="s">
        <v>70</v>
      </c>
      <c r="J124" s="67" t="s">
        <v>70</v>
      </c>
      <c r="K124" s="67">
        <v>63.45</v>
      </c>
      <c r="L124" s="299">
        <f t="shared" si="4"/>
        <v>200</v>
      </c>
      <c r="M124" s="221">
        <v>200</v>
      </c>
      <c r="N124" s="220" t="e">
        <f>IF(OR(M124="nio",M124="eigen dienst"),0,IF(M124&gt;0,M124*K124/O124,0))*VLOOKUP(B124,'2-Kosten per locatie'!$A$14:$C$33,3,FALSE)</f>
        <v>#DIV/0!</v>
      </c>
      <c r="O124" s="300">
        <f>IF(OR(M124="nio",M124="eigen dienst"),0,IF(M124&gt;0,VLOOKUP(H124,'3-Productie normen'!A:J,VLOOKUP(M124,'3-Productie normen'!$B$34:$C$35,2,FALSE),FALSE)))</f>
        <v>0</v>
      </c>
      <c r="P124" s="301" t="str">
        <f>VLOOKUP(H124,'3-Productie normen'!A:L,12,FALSE)</f>
        <v>L</v>
      </c>
      <c r="Q124" s="301"/>
      <c r="S124" s="302">
        <f t="shared" si="5"/>
        <v>12690</v>
      </c>
    </row>
    <row r="125" spans="1:19" ht="14.15" customHeight="1">
      <c r="A125" s="71">
        <v>125</v>
      </c>
      <c r="B125" s="67" t="s">
        <v>205</v>
      </c>
      <c r="C125" s="467" t="s">
        <v>616</v>
      </c>
      <c r="D125" s="467" t="s">
        <v>720</v>
      </c>
      <c r="E125" s="67" t="s">
        <v>713</v>
      </c>
      <c r="F125" s="67" t="s">
        <v>221</v>
      </c>
      <c r="G125" s="67" t="s">
        <v>515</v>
      </c>
      <c r="H125" s="67" t="s">
        <v>609</v>
      </c>
      <c r="I125" s="67" t="s">
        <v>70</v>
      </c>
      <c r="J125" s="67" t="s">
        <v>70</v>
      </c>
      <c r="K125" s="67">
        <v>57.9</v>
      </c>
      <c r="L125" s="299">
        <f t="shared" si="4"/>
        <v>200</v>
      </c>
      <c r="M125" s="221">
        <v>200</v>
      </c>
      <c r="N125" s="220" t="e">
        <f>IF(OR(M125="nio",M125="eigen dienst"),0,IF(M125&gt;0,M125*K125/O125,0))*VLOOKUP(B125,'2-Kosten per locatie'!$A$14:$C$33,3,FALSE)</f>
        <v>#DIV/0!</v>
      </c>
      <c r="O125" s="300">
        <f>IF(OR(M125="nio",M125="eigen dienst"),0,IF(M125&gt;0,VLOOKUP(H125,'3-Productie normen'!A:J,VLOOKUP(M125,'3-Productie normen'!$B$34:$C$35,2,FALSE),FALSE)))</f>
        <v>0</v>
      </c>
      <c r="P125" s="301" t="str">
        <f>VLOOKUP(H125,'3-Productie normen'!A:L,12,FALSE)</f>
        <v>L</v>
      </c>
      <c r="Q125" s="301"/>
      <c r="S125" s="302">
        <f t="shared" si="5"/>
        <v>11580</v>
      </c>
    </row>
    <row r="126" spans="1:19" ht="14.15" customHeight="1">
      <c r="A126" s="71">
        <v>126</v>
      </c>
      <c r="B126" s="67" t="s">
        <v>205</v>
      </c>
      <c r="C126" s="467" t="s">
        <v>616</v>
      </c>
      <c r="D126" s="467" t="s">
        <v>720</v>
      </c>
      <c r="E126" s="67" t="s">
        <v>713</v>
      </c>
      <c r="F126" s="67" t="s">
        <v>331</v>
      </c>
      <c r="G126" s="67" t="s">
        <v>515</v>
      </c>
      <c r="H126" s="67" t="s">
        <v>609</v>
      </c>
      <c r="I126" s="67" t="s">
        <v>70</v>
      </c>
      <c r="J126" s="67" t="s">
        <v>70</v>
      </c>
      <c r="K126" s="67">
        <v>84.4</v>
      </c>
      <c r="L126" s="299">
        <f t="shared" si="4"/>
        <v>200</v>
      </c>
      <c r="M126" s="221">
        <v>200</v>
      </c>
      <c r="N126" s="220" t="e">
        <f>IF(OR(M126="nio",M126="eigen dienst"),0,IF(M126&gt;0,M126*K126/O126,0))*VLOOKUP(B126,'2-Kosten per locatie'!$A$14:$C$33,3,FALSE)</f>
        <v>#DIV/0!</v>
      </c>
      <c r="O126" s="300">
        <f>IF(OR(M126="nio",M126="eigen dienst"),0,IF(M126&gt;0,VLOOKUP(H126,'3-Productie normen'!A:J,VLOOKUP(M126,'3-Productie normen'!$B$34:$C$35,2,FALSE),FALSE)))</f>
        <v>0</v>
      </c>
      <c r="P126" s="301" t="str">
        <f>VLOOKUP(H126,'3-Productie normen'!A:L,12,FALSE)</f>
        <v>L</v>
      </c>
      <c r="Q126" s="301"/>
      <c r="S126" s="302">
        <f t="shared" si="5"/>
        <v>16880</v>
      </c>
    </row>
    <row r="127" spans="1:19" ht="14.15" customHeight="1">
      <c r="A127" s="71">
        <v>127</v>
      </c>
      <c r="B127" s="67" t="s">
        <v>205</v>
      </c>
      <c r="C127" s="467" t="s">
        <v>616</v>
      </c>
      <c r="D127" s="467" t="s">
        <v>720</v>
      </c>
      <c r="E127" s="67" t="s">
        <v>713</v>
      </c>
      <c r="F127" s="67" t="s">
        <v>332</v>
      </c>
      <c r="G127" s="67" t="s">
        <v>515</v>
      </c>
      <c r="H127" s="67" t="s">
        <v>609</v>
      </c>
      <c r="I127" s="67" t="s">
        <v>70</v>
      </c>
      <c r="J127" s="67" t="s">
        <v>70</v>
      </c>
      <c r="K127" s="67">
        <v>5.4</v>
      </c>
      <c r="L127" s="299">
        <f t="shared" si="4"/>
        <v>200</v>
      </c>
      <c r="M127" s="221">
        <v>200</v>
      </c>
      <c r="N127" s="220" t="e">
        <f>IF(OR(M127="nio",M127="eigen dienst"),0,IF(M127&gt;0,M127*K127/O127,0))*VLOOKUP(B127,'2-Kosten per locatie'!$A$14:$C$33,3,FALSE)</f>
        <v>#DIV/0!</v>
      </c>
      <c r="O127" s="300">
        <f>IF(OR(M127="nio",M127="eigen dienst"),0,IF(M127&gt;0,VLOOKUP(H127,'3-Productie normen'!A:J,VLOOKUP(M127,'3-Productie normen'!$B$34:$C$35,2,FALSE),FALSE)))</f>
        <v>0</v>
      </c>
      <c r="P127" s="301" t="str">
        <f>VLOOKUP(H127,'3-Productie normen'!A:L,12,FALSE)</f>
        <v>L</v>
      </c>
      <c r="Q127" s="301"/>
      <c r="S127" s="302">
        <f t="shared" si="5"/>
        <v>1080</v>
      </c>
    </row>
    <row r="128" spans="1:19" ht="14.15" customHeight="1">
      <c r="A128" s="71">
        <v>128</v>
      </c>
      <c r="B128" s="67" t="s">
        <v>205</v>
      </c>
      <c r="C128" s="467" t="s">
        <v>616</v>
      </c>
      <c r="D128" s="467" t="s">
        <v>720</v>
      </c>
      <c r="E128" s="67" t="s">
        <v>713</v>
      </c>
      <c r="F128" s="67" t="s">
        <v>239</v>
      </c>
      <c r="G128" s="67" t="s">
        <v>514</v>
      </c>
      <c r="H128" s="67" t="s">
        <v>37</v>
      </c>
      <c r="I128" s="67" t="s">
        <v>601</v>
      </c>
      <c r="J128" s="67" t="s">
        <v>179</v>
      </c>
      <c r="K128" s="67">
        <v>15.8</v>
      </c>
      <c r="L128" s="299">
        <f t="shared" si="4"/>
        <v>200</v>
      </c>
      <c r="M128" s="221">
        <v>200</v>
      </c>
      <c r="N128" s="220" t="e">
        <f>IF(OR(M128="nio",M128="eigen dienst"),0,IF(M128&gt;0,M128*K128/O128,0))*VLOOKUP(B128,'2-Kosten per locatie'!$A$14:$C$33,3,FALSE)</f>
        <v>#DIV/0!</v>
      </c>
      <c r="O128" s="300">
        <f>IF(OR(M128="nio",M128="eigen dienst"),0,IF(M128&gt;0,VLOOKUP(H128,'3-Productie normen'!A:J,VLOOKUP(M128,'3-Productie normen'!$B$34:$C$35,2,FALSE),FALSE)))</f>
        <v>0</v>
      </c>
      <c r="P128" s="301" t="str">
        <f>VLOOKUP(H128,'3-Productie normen'!A:L,12,FALSE)</f>
        <v>S</v>
      </c>
      <c r="Q128" s="301"/>
      <c r="S128" s="302">
        <f t="shared" si="5"/>
        <v>3160</v>
      </c>
    </row>
    <row r="129" spans="1:19" ht="14.15" customHeight="1">
      <c r="A129" s="71">
        <v>129</v>
      </c>
      <c r="B129" s="67" t="s">
        <v>205</v>
      </c>
      <c r="C129" s="467" t="s">
        <v>616</v>
      </c>
      <c r="D129" s="467" t="s">
        <v>720</v>
      </c>
      <c r="E129" s="67" t="s">
        <v>713</v>
      </c>
      <c r="F129" s="67" t="s">
        <v>333</v>
      </c>
      <c r="G129" s="67" t="s">
        <v>514</v>
      </c>
      <c r="H129" s="67" t="s">
        <v>37</v>
      </c>
      <c r="I129" s="67" t="s">
        <v>601</v>
      </c>
      <c r="J129" s="67" t="s">
        <v>179</v>
      </c>
      <c r="K129" s="67">
        <v>0.8</v>
      </c>
      <c r="L129" s="299">
        <f t="shared" si="4"/>
        <v>200</v>
      </c>
      <c r="M129" s="221">
        <v>200</v>
      </c>
      <c r="N129" s="220" t="e">
        <f>IF(OR(M129="nio",M129="eigen dienst"),0,IF(M129&gt;0,M129*K129/O129,0))*VLOOKUP(B129,'2-Kosten per locatie'!$A$14:$C$33,3,FALSE)</f>
        <v>#DIV/0!</v>
      </c>
      <c r="O129" s="300">
        <f>IF(OR(M129="nio",M129="eigen dienst"),0,IF(M129&gt;0,VLOOKUP(H129,'3-Productie normen'!A:J,VLOOKUP(M129,'3-Productie normen'!$B$34:$C$35,2,FALSE),FALSE)))</f>
        <v>0</v>
      </c>
      <c r="P129" s="301" t="str">
        <f>VLOOKUP(H129,'3-Productie normen'!A:L,12,FALSE)</f>
        <v>S</v>
      </c>
      <c r="Q129" s="301"/>
      <c r="S129" s="302">
        <f t="shared" si="5"/>
        <v>160</v>
      </c>
    </row>
    <row r="130" spans="1:19" ht="14.15" customHeight="1">
      <c r="A130" s="71">
        <v>130</v>
      </c>
      <c r="B130" s="67" t="s">
        <v>205</v>
      </c>
      <c r="C130" s="467" t="s">
        <v>616</v>
      </c>
      <c r="D130" s="467" t="s">
        <v>720</v>
      </c>
      <c r="E130" s="67" t="s">
        <v>713</v>
      </c>
      <c r="F130" s="67" t="s">
        <v>334</v>
      </c>
      <c r="G130" s="67" t="s">
        <v>536</v>
      </c>
      <c r="H130" s="67" t="s">
        <v>39</v>
      </c>
      <c r="I130" s="67" t="s">
        <v>601</v>
      </c>
      <c r="J130" s="67" t="s">
        <v>200</v>
      </c>
      <c r="K130" s="67">
        <v>3.4</v>
      </c>
      <c r="L130" s="299">
        <f t="shared" si="4"/>
        <v>200</v>
      </c>
      <c r="M130" s="221">
        <v>200</v>
      </c>
      <c r="N130" s="220" t="e">
        <f>IF(OR(M130="nio",M130="eigen dienst"),0,IF(M130&gt;0,M130*K130/O130,0))*VLOOKUP(B130,'2-Kosten per locatie'!$A$14:$C$33,3,FALSE)</f>
        <v>#DIV/0!</v>
      </c>
      <c r="O130" s="300">
        <f>IF(OR(M130="nio",M130="eigen dienst"),0,IF(M130&gt;0,VLOOKUP(H130,'3-Productie normen'!A:J,VLOOKUP(M130,'3-Productie normen'!$B$34:$C$35,2,FALSE),FALSE)))</f>
        <v>0</v>
      </c>
      <c r="P130" s="301" t="str">
        <f>VLOOKUP(H130,'3-Productie normen'!A:L,12,FALSE)</f>
        <v>V</v>
      </c>
      <c r="Q130" s="301"/>
      <c r="S130" s="302">
        <f t="shared" si="5"/>
        <v>680</v>
      </c>
    </row>
    <row r="131" spans="1:19" ht="14.15" customHeight="1">
      <c r="A131" s="71">
        <v>131</v>
      </c>
      <c r="B131" s="67" t="s">
        <v>205</v>
      </c>
      <c r="C131" s="467" t="s">
        <v>616</v>
      </c>
      <c r="D131" s="467" t="s">
        <v>720</v>
      </c>
      <c r="E131" s="67" t="s">
        <v>713</v>
      </c>
      <c r="F131" s="67" t="s">
        <v>241</v>
      </c>
      <c r="G131" s="67" t="s">
        <v>516</v>
      </c>
      <c r="H131" s="67" t="s">
        <v>35</v>
      </c>
      <c r="I131" s="67" t="s">
        <v>70</v>
      </c>
      <c r="J131" s="67" t="s">
        <v>70</v>
      </c>
      <c r="K131" s="67">
        <v>19.2</v>
      </c>
      <c r="L131" s="299">
        <f t="shared" si="4"/>
        <v>200</v>
      </c>
      <c r="M131" s="221">
        <v>200</v>
      </c>
      <c r="N131" s="220" t="e">
        <f>IF(OR(M131="nio",M131="eigen dienst"),0,IF(M131&gt;0,M131*K131/O131,0))*VLOOKUP(B131,'2-Kosten per locatie'!$A$14:$C$33,3,FALSE)</f>
        <v>#DIV/0!</v>
      </c>
      <c r="O131" s="300">
        <f>IF(OR(M131="nio",M131="eigen dienst"),0,IF(M131&gt;0,VLOOKUP(H131,'3-Productie normen'!A:J,VLOOKUP(M131,'3-Productie normen'!$B$34:$C$35,2,FALSE),FALSE)))</f>
        <v>0</v>
      </c>
      <c r="P131" s="301" t="str">
        <f>VLOOKUP(H131,'3-Productie normen'!A:L,12,FALSE)</f>
        <v>B</v>
      </c>
      <c r="Q131" s="301"/>
      <c r="S131" s="302">
        <f t="shared" si="5"/>
        <v>3840</v>
      </c>
    </row>
    <row r="132" spans="1:19" ht="14.15" customHeight="1">
      <c r="A132" s="71">
        <v>132</v>
      </c>
      <c r="B132" s="67" t="s">
        <v>205</v>
      </c>
      <c r="C132" s="467" t="s">
        <v>616</v>
      </c>
      <c r="D132" s="467" t="s">
        <v>720</v>
      </c>
      <c r="E132" s="67" t="s">
        <v>713</v>
      </c>
      <c r="F132" s="67" t="s">
        <v>242</v>
      </c>
      <c r="G132" s="67" t="s">
        <v>519</v>
      </c>
      <c r="H132" s="67" t="s">
        <v>41</v>
      </c>
      <c r="I132" s="67" t="s">
        <v>70</v>
      </c>
      <c r="J132" s="67" t="s">
        <v>70</v>
      </c>
      <c r="K132" s="67">
        <v>6.4</v>
      </c>
      <c r="L132" s="299">
        <f t="shared" si="4"/>
        <v>200</v>
      </c>
      <c r="M132" s="221">
        <v>200</v>
      </c>
      <c r="N132" s="220" t="e">
        <f>IF(OR(M132="nio",M132="eigen dienst"),0,IF(M132&gt;0,M132*K132/O132,0))*VLOOKUP(B132,'2-Kosten per locatie'!$A$14:$C$33,3,FALSE)</f>
        <v>#DIV/0!</v>
      </c>
      <c r="O132" s="300">
        <f>IF(OR(M132="nio",M132="eigen dienst"),0,IF(M132&gt;0,VLOOKUP(H132,'3-Productie normen'!A:J,VLOOKUP(M132,'3-Productie normen'!$B$34:$C$35,2,FALSE),FALSE)))</f>
        <v>0</v>
      </c>
      <c r="P132" s="301" t="str">
        <f>VLOOKUP(H132,'3-Productie normen'!A:L,12,FALSE)</f>
        <v>V</v>
      </c>
      <c r="Q132" s="301"/>
      <c r="S132" s="302">
        <f t="shared" si="5"/>
        <v>1280</v>
      </c>
    </row>
    <row r="133" spans="1:19" ht="14.15" customHeight="1">
      <c r="A133" s="71">
        <v>133</v>
      </c>
      <c r="B133" s="67" t="s">
        <v>205</v>
      </c>
      <c r="C133" s="467" t="s">
        <v>616</v>
      </c>
      <c r="D133" s="467" t="s">
        <v>720</v>
      </c>
      <c r="E133" s="67" t="s">
        <v>713</v>
      </c>
      <c r="F133" s="67" t="s">
        <v>243</v>
      </c>
      <c r="G133" s="67" t="s">
        <v>514</v>
      </c>
      <c r="H133" s="67" t="s">
        <v>37</v>
      </c>
      <c r="I133" s="67" t="s">
        <v>601</v>
      </c>
      <c r="J133" s="67" t="s">
        <v>179</v>
      </c>
      <c r="K133" s="67">
        <v>3.4</v>
      </c>
      <c r="L133" s="299">
        <f t="shared" si="4"/>
        <v>200</v>
      </c>
      <c r="M133" s="221">
        <v>200</v>
      </c>
      <c r="N133" s="220" t="e">
        <f>IF(OR(M133="nio",M133="eigen dienst"),0,IF(M133&gt;0,M133*K133/O133,0))*VLOOKUP(B133,'2-Kosten per locatie'!$A$14:$C$33,3,FALSE)</f>
        <v>#DIV/0!</v>
      </c>
      <c r="O133" s="300">
        <f>IF(OR(M133="nio",M133="eigen dienst"),0,IF(M133&gt;0,VLOOKUP(H133,'3-Productie normen'!A:J,VLOOKUP(M133,'3-Productie normen'!$B$34:$C$35,2,FALSE),FALSE)))</f>
        <v>0</v>
      </c>
      <c r="P133" s="301" t="str">
        <f>VLOOKUP(H133,'3-Productie normen'!A:L,12,FALSE)</f>
        <v>S</v>
      </c>
      <c r="Q133" s="301"/>
      <c r="S133" s="302">
        <f t="shared" si="5"/>
        <v>680</v>
      </c>
    </row>
    <row r="134" spans="1:19" ht="14.15" customHeight="1">
      <c r="A134" s="71">
        <v>134</v>
      </c>
      <c r="B134" s="67" t="s">
        <v>205</v>
      </c>
      <c r="C134" s="467" t="s">
        <v>616</v>
      </c>
      <c r="D134" s="467" t="s">
        <v>720</v>
      </c>
      <c r="E134" s="67" t="s">
        <v>713</v>
      </c>
      <c r="F134" s="67" t="s">
        <v>244</v>
      </c>
      <c r="G134" s="67" t="s">
        <v>516</v>
      </c>
      <c r="H134" s="67" t="s">
        <v>35</v>
      </c>
      <c r="I134" s="67" t="s">
        <v>70</v>
      </c>
      <c r="J134" s="67" t="s">
        <v>70</v>
      </c>
      <c r="K134" s="67">
        <v>11.3</v>
      </c>
      <c r="L134" s="299">
        <f t="shared" si="4"/>
        <v>200</v>
      </c>
      <c r="M134" s="221">
        <v>200</v>
      </c>
      <c r="N134" s="220" t="e">
        <f>IF(OR(M134="nio",M134="eigen dienst"),0,IF(M134&gt;0,M134*K134/O134,0))*VLOOKUP(B134,'2-Kosten per locatie'!$A$14:$C$33,3,FALSE)</f>
        <v>#DIV/0!</v>
      </c>
      <c r="O134" s="300">
        <f>IF(OR(M134="nio",M134="eigen dienst"),0,IF(M134&gt;0,VLOOKUP(H134,'3-Productie normen'!A:J,VLOOKUP(M134,'3-Productie normen'!$B$34:$C$35,2,FALSE),FALSE)))</f>
        <v>0</v>
      </c>
      <c r="P134" s="301" t="str">
        <f>VLOOKUP(H134,'3-Productie normen'!A:L,12,FALSE)</f>
        <v>B</v>
      </c>
      <c r="Q134" s="301"/>
      <c r="S134" s="302">
        <f t="shared" si="5"/>
        <v>2260</v>
      </c>
    </row>
    <row r="135" spans="1:19" ht="14.15" customHeight="1">
      <c r="A135" s="71">
        <v>135</v>
      </c>
      <c r="B135" s="67" t="s">
        <v>205</v>
      </c>
      <c r="C135" s="467" t="s">
        <v>616</v>
      </c>
      <c r="D135" s="467" t="s">
        <v>720</v>
      </c>
      <c r="E135" s="67" t="s">
        <v>713</v>
      </c>
      <c r="F135" s="67" t="s">
        <v>222</v>
      </c>
      <c r="G135" s="67" t="s">
        <v>515</v>
      </c>
      <c r="H135" s="67" t="s">
        <v>609</v>
      </c>
      <c r="I135" s="67" t="s">
        <v>70</v>
      </c>
      <c r="J135" s="67" t="s">
        <v>70</v>
      </c>
      <c r="K135" s="67">
        <v>57.9</v>
      </c>
      <c r="L135" s="299">
        <f t="shared" si="4"/>
        <v>200</v>
      </c>
      <c r="M135" s="221">
        <v>200</v>
      </c>
      <c r="N135" s="220" t="e">
        <f>IF(OR(M135="nio",M135="eigen dienst"),0,IF(M135&gt;0,M135*K135/O135,0))*VLOOKUP(B135,'2-Kosten per locatie'!$A$14:$C$33,3,FALSE)</f>
        <v>#DIV/0!</v>
      </c>
      <c r="O135" s="300">
        <f>IF(OR(M135="nio",M135="eigen dienst"),0,IF(M135&gt;0,VLOOKUP(H135,'3-Productie normen'!A:J,VLOOKUP(M135,'3-Productie normen'!$B$34:$C$35,2,FALSE),FALSE)))</f>
        <v>0</v>
      </c>
      <c r="P135" s="301" t="str">
        <f>VLOOKUP(H135,'3-Productie normen'!A:L,12,FALSE)</f>
        <v>L</v>
      </c>
      <c r="Q135" s="301"/>
      <c r="S135" s="302">
        <f t="shared" si="5"/>
        <v>11580</v>
      </c>
    </row>
    <row r="136" spans="1:19" ht="14.15" customHeight="1">
      <c r="A136" s="71">
        <v>136</v>
      </c>
      <c r="B136" s="67" t="s">
        <v>205</v>
      </c>
      <c r="C136" s="467" t="s">
        <v>616</v>
      </c>
      <c r="D136" s="467" t="s">
        <v>720</v>
      </c>
      <c r="E136" s="67" t="s">
        <v>713</v>
      </c>
      <c r="F136" s="67" t="s">
        <v>223</v>
      </c>
      <c r="G136" s="67" t="s">
        <v>515</v>
      </c>
      <c r="H136" s="67" t="s">
        <v>609</v>
      </c>
      <c r="I136" s="67" t="s">
        <v>70</v>
      </c>
      <c r="J136" s="67" t="s">
        <v>70</v>
      </c>
      <c r="K136" s="67">
        <v>57.9</v>
      </c>
      <c r="L136" s="299">
        <f t="shared" si="4"/>
        <v>200</v>
      </c>
      <c r="M136" s="221">
        <v>200</v>
      </c>
      <c r="N136" s="220" t="e">
        <f>IF(OR(M136="nio",M136="eigen dienst"),0,IF(M136&gt;0,M136*K136/O136,0))*VLOOKUP(B136,'2-Kosten per locatie'!$A$14:$C$33,3,FALSE)</f>
        <v>#DIV/0!</v>
      </c>
      <c r="O136" s="300">
        <f>IF(OR(M136="nio",M136="eigen dienst"),0,IF(M136&gt;0,VLOOKUP(H136,'3-Productie normen'!A:J,VLOOKUP(M136,'3-Productie normen'!$B$34:$C$35,2,FALSE),FALSE)))</f>
        <v>0</v>
      </c>
      <c r="P136" s="301" t="str">
        <f>VLOOKUP(H136,'3-Productie normen'!A:L,12,FALSE)</f>
        <v>L</v>
      </c>
      <c r="Q136" s="301"/>
      <c r="S136" s="302">
        <f t="shared" si="5"/>
        <v>11580</v>
      </c>
    </row>
    <row r="137" spans="1:19" ht="14.15" customHeight="1">
      <c r="A137" s="71">
        <v>137</v>
      </c>
      <c r="B137" s="67" t="s">
        <v>205</v>
      </c>
      <c r="C137" s="467" t="s">
        <v>616</v>
      </c>
      <c r="D137" s="467" t="s">
        <v>720</v>
      </c>
      <c r="E137" s="67" t="s">
        <v>713</v>
      </c>
      <c r="F137" s="67" t="s">
        <v>265</v>
      </c>
      <c r="G137" s="67" t="s">
        <v>516</v>
      </c>
      <c r="H137" s="67" t="s">
        <v>35</v>
      </c>
      <c r="I137" s="67" t="s">
        <v>70</v>
      </c>
      <c r="J137" s="67" t="s">
        <v>70</v>
      </c>
      <c r="K137" s="67">
        <v>12.54</v>
      </c>
      <c r="L137" s="299">
        <f t="shared" si="4"/>
        <v>200</v>
      </c>
      <c r="M137" s="221">
        <v>200</v>
      </c>
      <c r="N137" s="220" t="e">
        <f>IF(OR(M137="nio",M137="eigen dienst"),0,IF(M137&gt;0,M137*K137/O137,0))*VLOOKUP(B137,'2-Kosten per locatie'!$A$14:$C$33,3,FALSE)</f>
        <v>#DIV/0!</v>
      </c>
      <c r="O137" s="300">
        <f>IF(OR(M137="nio",M137="eigen dienst"),0,IF(M137&gt;0,VLOOKUP(H137,'3-Productie normen'!A:J,VLOOKUP(M137,'3-Productie normen'!$B$34:$C$35,2,FALSE),FALSE)))</f>
        <v>0</v>
      </c>
      <c r="P137" s="301" t="str">
        <f>VLOOKUP(H137,'3-Productie normen'!A:L,12,FALSE)</f>
        <v>B</v>
      </c>
      <c r="Q137" s="301"/>
      <c r="S137" s="302">
        <f t="shared" si="5"/>
        <v>2508</v>
      </c>
    </row>
    <row r="138" spans="1:19" ht="14.15" customHeight="1">
      <c r="A138" s="71">
        <v>138</v>
      </c>
      <c r="B138" s="67" t="s">
        <v>205</v>
      </c>
      <c r="C138" s="467" t="s">
        <v>616</v>
      </c>
      <c r="D138" s="467" t="s">
        <v>720</v>
      </c>
      <c r="E138" s="67" t="s">
        <v>713</v>
      </c>
      <c r="F138" s="67" t="s">
        <v>224</v>
      </c>
      <c r="G138" s="67" t="s">
        <v>47</v>
      </c>
      <c r="H138" s="67" t="s">
        <v>47</v>
      </c>
      <c r="I138" s="67" t="s">
        <v>597</v>
      </c>
      <c r="J138" s="67" t="s">
        <v>201</v>
      </c>
      <c r="K138" s="67">
        <v>6.6</v>
      </c>
      <c r="L138" s="299">
        <f t="shared" si="4"/>
        <v>200</v>
      </c>
      <c r="M138" s="221">
        <v>200</v>
      </c>
      <c r="N138" s="220" t="e">
        <f>IF(OR(M138="nio",M138="eigen dienst"),0,IF(M138&gt;0,M138*K138/O138,0))*VLOOKUP(B138,'2-Kosten per locatie'!$A$14:$C$33,3,FALSE)</f>
        <v>#DIV/0!</v>
      </c>
      <c r="O138" s="300">
        <f>IF(OR(M138="nio",M138="eigen dienst"),0,IF(M138&gt;0,VLOOKUP(H138,'3-Productie normen'!A:J,VLOOKUP(M138,'3-Productie normen'!$B$34:$C$35,2,FALSE),FALSE)))</f>
        <v>0</v>
      </c>
      <c r="P138" s="301" t="str">
        <f>VLOOKUP(H138,'3-Productie normen'!A:L,12,FALSE)</f>
        <v>V</v>
      </c>
      <c r="Q138" s="301"/>
      <c r="S138" s="302">
        <f t="shared" si="5"/>
        <v>1320</v>
      </c>
    </row>
    <row r="139" spans="1:19" ht="14.15" customHeight="1">
      <c r="A139" s="71">
        <v>139</v>
      </c>
      <c r="B139" s="67" t="s">
        <v>205</v>
      </c>
      <c r="C139" s="467" t="s">
        <v>616</v>
      </c>
      <c r="D139" s="467" t="s">
        <v>720</v>
      </c>
      <c r="E139" s="67" t="s">
        <v>713</v>
      </c>
      <c r="F139" s="67" t="s">
        <v>225</v>
      </c>
      <c r="G139" s="67" t="s">
        <v>512</v>
      </c>
      <c r="H139" s="67" t="s">
        <v>39</v>
      </c>
      <c r="I139" s="67" t="s">
        <v>70</v>
      </c>
      <c r="J139" s="67" t="s">
        <v>70</v>
      </c>
      <c r="K139" s="67">
        <v>19.91</v>
      </c>
      <c r="L139" s="299">
        <f t="shared" si="4"/>
        <v>200</v>
      </c>
      <c r="M139" s="221">
        <v>200</v>
      </c>
      <c r="N139" s="220" t="e">
        <f>IF(OR(M139="nio",M139="eigen dienst"),0,IF(M139&gt;0,M139*K139/O139,0))*VLOOKUP(B139,'2-Kosten per locatie'!$A$14:$C$33,3,FALSE)</f>
        <v>#DIV/0!</v>
      </c>
      <c r="O139" s="300">
        <f>IF(OR(M139="nio",M139="eigen dienst"),0,IF(M139&gt;0,VLOOKUP(H139,'3-Productie normen'!A:J,VLOOKUP(M139,'3-Productie normen'!$B$34:$C$35,2,FALSE),FALSE)))</f>
        <v>0</v>
      </c>
      <c r="P139" s="301" t="str">
        <f>VLOOKUP(H139,'3-Productie normen'!A:L,12,FALSE)</f>
        <v>V</v>
      </c>
      <c r="Q139" s="301"/>
      <c r="S139" s="302">
        <f t="shared" si="5"/>
        <v>3982</v>
      </c>
    </row>
    <row r="140" spans="1:19" ht="14.15" customHeight="1">
      <c r="A140" s="71">
        <v>140</v>
      </c>
      <c r="B140" s="67" t="s">
        <v>205</v>
      </c>
      <c r="C140" s="467" t="s">
        <v>616</v>
      </c>
      <c r="D140" s="467" t="s">
        <v>720</v>
      </c>
      <c r="E140" s="67" t="s">
        <v>713</v>
      </c>
      <c r="F140" s="67" t="s">
        <v>226</v>
      </c>
      <c r="G140" s="67" t="s">
        <v>515</v>
      </c>
      <c r="H140" s="67" t="s">
        <v>609</v>
      </c>
      <c r="I140" s="67" t="s">
        <v>70</v>
      </c>
      <c r="J140" s="67" t="s">
        <v>70</v>
      </c>
      <c r="K140" s="67">
        <v>63.45</v>
      </c>
      <c r="L140" s="299">
        <f t="shared" si="4"/>
        <v>200</v>
      </c>
      <c r="M140" s="221">
        <v>200</v>
      </c>
      <c r="N140" s="220" t="e">
        <f>IF(OR(M140="nio",M140="eigen dienst"),0,IF(M140&gt;0,M140*K140/O140,0))*VLOOKUP(B140,'2-Kosten per locatie'!$A$14:$C$33,3,FALSE)</f>
        <v>#DIV/0!</v>
      </c>
      <c r="O140" s="300">
        <f>IF(OR(M140="nio",M140="eigen dienst"),0,IF(M140&gt;0,VLOOKUP(H140,'3-Productie normen'!A:J,VLOOKUP(M140,'3-Productie normen'!$B$34:$C$35,2,FALSE),FALSE)))</f>
        <v>0</v>
      </c>
      <c r="P140" s="301" t="str">
        <f>VLOOKUP(H140,'3-Productie normen'!A:L,12,FALSE)</f>
        <v>L</v>
      </c>
      <c r="Q140" s="301"/>
      <c r="S140" s="302">
        <f t="shared" si="5"/>
        <v>12690</v>
      </c>
    </row>
    <row r="141" spans="1:19" ht="14.15" customHeight="1">
      <c r="A141" s="71">
        <v>141</v>
      </c>
      <c r="B141" s="67" t="s">
        <v>205</v>
      </c>
      <c r="C141" s="467" t="s">
        <v>616</v>
      </c>
      <c r="D141" s="467" t="s">
        <v>720</v>
      </c>
      <c r="E141" s="67" t="s">
        <v>713</v>
      </c>
      <c r="F141" s="67" t="s">
        <v>329</v>
      </c>
      <c r="G141" s="67" t="s">
        <v>541</v>
      </c>
      <c r="H141" s="67" t="s">
        <v>47</v>
      </c>
      <c r="I141" s="67" t="s">
        <v>597</v>
      </c>
      <c r="J141" s="67" t="s">
        <v>201</v>
      </c>
      <c r="K141" s="67">
        <v>3.4</v>
      </c>
      <c r="L141" s="299">
        <f t="shared" si="4"/>
        <v>200</v>
      </c>
      <c r="M141" s="221">
        <v>200</v>
      </c>
      <c r="N141" s="220" t="e">
        <f>IF(OR(M141="nio",M141="eigen dienst"),0,IF(M141&gt;0,M141*K141/O141,0))*VLOOKUP(B141,'2-Kosten per locatie'!$A$14:$C$33,3,FALSE)</f>
        <v>#DIV/0!</v>
      </c>
      <c r="O141" s="300">
        <f>IF(OR(M141="nio",M141="eigen dienst"),0,IF(M141&gt;0,VLOOKUP(H141,'3-Productie normen'!A:J,VLOOKUP(M141,'3-Productie normen'!$B$34:$C$35,2,FALSE),FALSE)))</f>
        <v>0</v>
      </c>
      <c r="P141" s="301" t="str">
        <f>VLOOKUP(H141,'3-Productie normen'!A:L,12,FALSE)</f>
        <v>V</v>
      </c>
      <c r="Q141" s="301"/>
      <c r="S141" s="302">
        <f t="shared" si="5"/>
        <v>680</v>
      </c>
    </row>
    <row r="142" spans="1:19" ht="14.15" customHeight="1">
      <c r="A142" s="71">
        <v>142</v>
      </c>
      <c r="B142" s="67" t="s">
        <v>205</v>
      </c>
      <c r="C142" s="467" t="s">
        <v>616</v>
      </c>
      <c r="D142" s="467" t="s">
        <v>720</v>
      </c>
      <c r="E142" s="67" t="s">
        <v>713</v>
      </c>
      <c r="F142" s="67" t="s">
        <v>330</v>
      </c>
      <c r="G142" s="67" t="s">
        <v>516</v>
      </c>
      <c r="H142" s="67" t="s">
        <v>35</v>
      </c>
      <c r="I142" s="67" t="s">
        <v>70</v>
      </c>
      <c r="J142" s="67" t="s">
        <v>70</v>
      </c>
      <c r="K142" s="67">
        <v>10</v>
      </c>
      <c r="L142" s="299">
        <f t="shared" si="4"/>
        <v>200</v>
      </c>
      <c r="M142" s="221">
        <v>200</v>
      </c>
      <c r="N142" s="220" t="e">
        <f>IF(OR(M142="nio",M142="eigen dienst"),0,IF(M142&gt;0,M142*K142/O142,0))*VLOOKUP(B142,'2-Kosten per locatie'!$A$14:$C$33,3,FALSE)</f>
        <v>#DIV/0!</v>
      </c>
      <c r="O142" s="300">
        <f>IF(OR(M142="nio",M142="eigen dienst"),0,IF(M142&gt;0,VLOOKUP(H142,'3-Productie normen'!A:J,VLOOKUP(M142,'3-Productie normen'!$B$34:$C$35,2,FALSE),FALSE)))</f>
        <v>0</v>
      </c>
      <c r="P142" s="301" t="str">
        <f>VLOOKUP(H142,'3-Productie normen'!A:L,12,FALSE)</f>
        <v>B</v>
      </c>
      <c r="Q142" s="301"/>
      <c r="S142" s="302">
        <f t="shared" si="5"/>
        <v>2000</v>
      </c>
    </row>
    <row r="143" spans="1:19" ht="14.15" customHeight="1">
      <c r="A143" s="71">
        <v>143</v>
      </c>
      <c r="B143" s="67" t="s">
        <v>205</v>
      </c>
      <c r="C143" s="467" t="s">
        <v>616</v>
      </c>
      <c r="D143" s="467" t="s">
        <v>720</v>
      </c>
      <c r="E143" s="67" t="s">
        <v>713</v>
      </c>
      <c r="F143" s="67" t="s">
        <v>335</v>
      </c>
      <c r="G143" s="67" t="s">
        <v>47</v>
      </c>
      <c r="H143" s="67" t="s">
        <v>47</v>
      </c>
      <c r="I143" s="67" t="s">
        <v>70</v>
      </c>
      <c r="J143" s="67" t="s">
        <v>70</v>
      </c>
      <c r="K143" s="67">
        <v>11.799999999999999</v>
      </c>
      <c r="L143" s="299">
        <f t="shared" si="4"/>
        <v>0</v>
      </c>
      <c r="M143" s="221" t="s">
        <v>629</v>
      </c>
      <c r="N143" s="220">
        <f>IF(OR(M143="nio",M143="eigen dienst"),0,IF(M143&gt;0,M143*K143/O143,0))*VLOOKUP(B143,'2-Kosten per locatie'!$A$14:$C$33,3,FALSE)</f>
        <v>0</v>
      </c>
      <c r="O143" s="300">
        <f>IF(OR(M143="nio",M143="eigen dienst"),0,IF(M143&gt;0,VLOOKUP(H143,'3-Productie normen'!A:J,VLOOKUP(M143,'3-Productie normen'!$B$34:$C$35,2,FALSE),FALSE)))</f>
        <v>0</v>
      </c>
      <c r="P143" s="301" t="str">
        <f>VLOOKUP(H143,'3-Productie normen'!A:L,12,FALSE)</f>
        <v>V</v>
      </c>
      <c r="Q143" s="301"/>
      <c r="S143" s="302">
        <f t="shared" si="5"/>
        <v>0</v>
      </c>
    </row>
    <row r="144" spans="1:19" ht="14.15" customHeight="1">
      <c r="A144" s="71">
        <v>144</v>
      </c>
      <c r="B144" s="67" t="s">
        <v>205</v>
      </c>
      <c r="C144" s="467" t="s">
        <v>616</v>
      </c>
      <c r="D144" s="467" t="s">
        <v>720</v>
      </c>
      <c r="E144" s="67" t="s">
        <v>713</v>
      </c>
      <c r="F144" s="67" t="s">
        <v>344</v>
      </c>
      <c r="G144" s="67" t="s">
        <v>523</v>
      </c>
      <c r="H144" s="67" t="s">
        <v>630</v>
      </c>
      <c r="I144" s="67" t="s">
        <v>70</v>
      </c>
      <c r="J144" s="67" t="s">
        <v>70</v>
      </c>
      <c r="K144" s="67">
        <v>0.6</v>
      </c>
      <c r="L144" s="299">
        <f t="shared" ref="L144:L205" si="6">SUM(M144:M144)</f>
        <v>0</v>
      </c>
      <c r="M144" s="221" t="s">
        <v>629</v>
      </c>
      <c r="N144" s="220">
        <f>IF(OR(M144="nio",M144="eigen dienst"),0,IF(M144&gt;0,M144*K144/O144,0))*VLOOKUP(B144,'2-Kosten per locatie'!$A$14:$C$33,3,FALSE)</f>
        <v>0</v>
      </c>
      <c r="O144" s="300">
        <f>IF(OR(M144="nio",M144="eigen dienst"),0,IF(M144&gt;0,VLOOKUP(H144,'3-Productie normen'!A:J,VLOOKUP(M144,'3-Productie normen'!$B$34:$C$35,2,FALSE),FALSE)))</f>
        <v>0</v>
      </c>
      <c r="P144" s="301">
        <f>VLOOKUP(H144,'3-Productie normen'!A:L,12,FALSE)</f>
        <v>0</v>
      </c>
      <c r="Q144" s="301"/>
      <c r="S144" s="302">
        <f t="shared" ref="S144:S205" si="7">L144*K144</f>
        <v>0</v>
      </c>
    </row>
    <row r="145" spans="1:19" ht="14.15" customHeight="1">
      <c r="A145" s="71">
        <v>145</v>
      </c>
      <c r="B145" s="67" t="s">
        <v>205</v>
      </c>
      <c r="C145" s="467" t="s">
        <v>616</v>
      </c>
      <c r="D145" s="467" t="s">
        <v>720</v>
      </c>
      <c r="E145" s="67" t="s">
        <v>713</v>
      </c>
      <c r="F145" s="67" t="s">
        <v>345</v>
      </c>
      <c r="G145" s="67" t="s">
        <v>518</v>
      </c>
      <c r="H145" s="67" t="s">
        <v>630</v>
      </c>
      <c r="I145" s="67" t="s">
        <v>70</v>
      </c>
      <c r="J145" s="67" t="s">
        <v>70</v>
      </c>
      <c r="K145" s="67">
        <v>0.6</v>
      </c>
      <c r="L145" s="299">
        <f t="shared" si="6"/>
        <v>0</v>
      </c>
      <c r="M145" s="221" t="s">
        <v>629</v>
      </c>
      <c r="N145" s="220">
        <f>IF(OR(M145="nio",M145="eigen dienst"),0,IF(M145&gt;0,M145*K145/O145,0))*VLOOKUP(B145,'2-Kosten per locatie'!$A$14:$C$33,3,FALSE)</f>
        <v>0</v>
      </c>
      <c r="O145" s="300">
        <f>IF(OR(M145="nio",M145="eigen dienst"),0,IF(M145&gt;0,VLOOKUP(H145,'3-Productie normen'!A:J,VLOOKUP(M145,'3-Productie normen'!$B$34:$C$35,2,FALSE),FALSE)))</f>
        <v>0</v>
      </c>
      <c r="P145" s="301">
        <f>VLOOKUP(H145,'3-Productie normen'!A:L,12,FALSE)</f>
        <v>0</v>
      </c>
      <c r="Q145" s="301"/>
      <c r="S145" s="302">
        <f t="shared" si="7"/>
        <v>0</v>
      </c>
    </row>
    <row r="146" spans="1:19" ht="14.15" customHeight="1">
      <c r="A146" s="71">
        <v>146</v>
      </c>
      <c r="B146" s="67" t="s">
        <v>205</v>
      </c>
      <c r="C146" s="467" t="s">
        <v>616</v>
      </c>
      <c r="D146" s="467" t="s">
        <v>720</v>
      </c>
      <c r="E146" s="67" t="s">
        <v>713</v>
      </c>
      <c r="F146" s="67" t="s">
        <v>336</v>
      </c>
      <c r="G146" s="67" t="s">
        <v>512</v>
      </c>
      <c r="H146" s="67" t="s">
        <v>39</v>
      </c>
      <c r="I146" s="67" t="s">
        <v>70</v>
      </c>
      <c r="J146" s="67" t="s">
        <v>70</v>
      </c>
      <c r="K146" s="67">
        <v>32.1</v>
      </c>
      <c r="L146" s="299">
        <f t="shared" si="6"/>
        <v>0</v>
      </c>
      <c r="M146" s="221" t="s">
        <v>629</v>
      </c>
      <c r="N146" s="220">
        <f>IF(OR(M146="nio",M146="eigen dienst"),0,IF(M146&gt;0,M146*K146/O146,0))*VLOOKUP(B146,'2-Kosten per locatie'!$A$14:$C$33,3,FALSE)</f>
        <v>0</v>
      </c>
      <c r="O146" s="300">
        <f>IF(OR(M146="nio",M146="eigen dienst"),0,IF(M146&gt;0,VLOOKUP(H146,'3-Productie normen'!A:J,VLOOKUP(M146,'3-Productie normen'!$B$34:$C$35,2,FALSE),FALSE)))</f>
        <v>0</v>
      </c>
      <c r="P146" s="301" t="str">
        <f>VLOOKUP(H146,'3-Productie normen'!A:L,12,FALSE)</f>
        <v>V</v>
      </c>
      <c r="Q146" s="301"/>
      <c r="S146" s="302">
        <f t="shared" si="7"/>
        <v>0</v>
      </c>
    </row>
    <row r="147" spans="1:19" ht="14.15" customHeight="1">
      <c r="A147" s="71">
        <v>147</v>
      </c>
      <c r="B147" s="67" t="s">
        <v>205</v>
      </c>
      <c r="C147" s="467" t="s">
        <v>616</v>
      </c>
      <c r="D147" s="467" t="s">
        <v>720</v>
      </c>
      <c r="E147" s="67" t="s">
        <v>713</v>
      </c>
      <c r="F147" s="67" t="s">
        <v>337</v>
      </c>
      <c r="G147" s="67" t="s">
        <v>71</v>
      </c>
      <c r="H147" s="67" t="s">
        <v>37</v>
      </c>
      <c r="I147" s="67" t="s">
        <v>70</v>
      </c>
      <c r="J147" s="67" t="s">
        <v>70</v>
      </c>
      <c r="K147" s="67">
        <v>11.2</v>
      </c>
      <c r="L147" s="299">
        <f t="shared" si="6"/>
        <v>200</v>
      </c>
      <c r="M147" s="221">
        <v>200</v>
      </c>
      <c r="N147" s="220" t="e">
        <f>IF(OR(M147="nio",M147="eigen dienst"),0,IF(M147&gt;0,M147*K147/O147,0))*VLOOKUP(B147,'2-Kosten per locatie'!$A$14:$C$33,3,FALSE)</f>
        <v>#DIV/0!</v>
      </c>
      <c r="O147" s="300">
        <f>IF(OR(M147="nio",M147="eigen dienst"),0,IF(M147&gt;0,VLOOKUP(H147,'3-Productie normen'!A:J,VLOOKUP(M147,'3-Productie normen'!$B$34:$C$35,2,FALSE),FALSE)))</f>
        <v>0</v>
      </c>
      <c r="P147" s="301" t="str">
        <f>VLOOKUP(H147,'3-Productie normen'!A:L,12,FALSE)</f>
        <v>S</v>
      </c>
      <c r="Q147" s="301"/>
      <c r="S147" s="302">
        <f t="shared" si="7"/>
        <v>2240</v>
      </c>
    </row>
    <row r="148" spans="1:19" ht="14.15" customHeight="1">
      <c r="A148" s="71">
        <v>148</v>
      </c>
      <c r="B148" s="67" t="s">
        <v>205</v>
      </c>
      <c r="C148" s="467" t="s">
        <v>616</v>
      </c>
      <c r="D148" s="467" t="s">
        <v>720</v>
      </c>
      <c r="E148" s="67" t="s">
        <v>713</v>
      </c>
      <c r="F148" s="67" t="s">
        <v>338</v>
      </c>
      <c r="G148" s="67" t="s">
        <v>542</v>
      </c>
      <c r="H148" s="67" t="s">
        <v>609</v>
      </c>
      <c r="I148" s="67" t="s">
        <v>70</v>
      </c>
      <c r="J148" s="67" t="s">
        <v>70</v>
      </c>
      <c r="K148" s="67">
        <v>54.3</v>
      </c>
      <c r="L148" s="299">
        <f t="shared" si="6"/>
        <v>200</v>
      </c>
      <c r="M148" s="221">
        <v>200</v>
      </c>
      <c r="N148" s="220" t="e">
        <f>IF(OR(M148="nio",M148="eigen dienst"),0,IF(M148&gt;0,M148*K148/O148,0))*VLOOKUP(B148,'2-Kosten per locatie'!$A$14:$C$33,3,FALSE)</f>
        <v>#DIV/0!</v>
      </c>
      <c r="O148" s="300">
        <f>IF(OR(M148="nio",M148="eigen dienst"),0,IF(M148&gt;0,VLOOKUP(H148,'3-Productie normen'!A:J,VLOOKUP(M148,'3-Productie normen'!$B$34:$C$35,2,FALSE),FALSE)))</f>
        <v>0</v>
      </c>
      <c r="P148" s="301" t="str">
        <f>VLOOKUP(H148,'3-Productie normen'!A:L,12,FALSE)</f>
        <v>L</v>
      </c>
      <c r="Q148" s="301"/>
      <c r="S148" s="302">
        <f t="shared" si="7"/>
        <v>10860</v>
      </c>
    </row>
    <row r="149" spans="1:19" ht="14.15" customHeight="1">
      <c r="A149" s="71">
        <v>149</v>
      </c>
      <c r="B149" s="67" t="s">
        <v>205</v>
      </c>
      <c r="C149" s="467" t="s">
        <v>616</v>
      </c>
      <c r="D149" s="467" t="s">
        <v>720</v>
      </c>
      <c r="E149" s="67" t="s">
        <v>713</v>
      </c>
      <c r="F149" s="67" t="s">
        <v>339</v>
      </c>
      <c r="G149" s="67" t="s">
        <v>543</v>
      </c>
      <c r="H149" s="67" t="s">
        <v>609</v>
      </c>
      <c r="I149" s="67" t="s">
        <v>70</v>
      </c>
      <c r="J149" s="67" t="s">
        <v>70</v>
      </c>
      <c r="K149" s="67">
        <v>54.3</v>
      </c>
      <c r="L149" s="299">
        <f t="shared" si="6"/>
        <v>0</v>
      </c>
      <c r="M149" s="221" t="s">
        <v>629</v>
      </c>
      <c r="N149" s="220">
        <f>IF(OR(M149="nio",M149="eigen dienst"),0,IF(M149&gt;0,M149*K149/O149,0))*VLOOKUP(B149,'2-Kosten per locatie'!$A$14:$C$33,3,FALSE)</f>
        <v>0</v>
      </c>
      <c r="O149" s="300">
        <f>IF(OR(M149="nio",M149="eigen dienst"),0,IF(M149&gt;0,VLOOKUP(H149,'3-Productie normen'!A:J,VLOOKUP(M149,'3-Productie normen'!$B$34:$C$35,2,FALSE),FALSE)))</f>
        <v>0</v>
      </c>
      <c r="P149" s="301" t="str">
        <f>VLOOKUP(H149,'3-Productie normen'!A:L,12,FALSE)</f>
        <v>L</v>
      </c>
      <c r="Q149" s="301"/>
      <c r="S149" s="302">
        <f t="shared" si="7"/>
        <v>0</v>
      </c>
    </row>
    <row r="150" spans="1:19" ht="14.15" customHeight="1">
      <c r="A150" s="71">
        <v>150</v>
      </c>
      <c r="B150" s="67" t="s">
        <v>205</v>
      </c>
      <c r="C150" s="467" t="s">
        <v>616</v>
      </c>
      <c r="D150" s="467" t="s">
        <v>720</v>
      </c>
      <c r="E150" s="67" t="s">
        <v>713</v>
      </c>
      <c r="F150" s="67" t="s">
        <v>340</v>
      </c>
      <c r="G150" s="67" t="s">
        <v>544</v>
      </c>
      <c r="H150" s="67" t="s">
        <v>630</v>
      </c>
      <c r="I150" s="67" t="s">
        <v>70</v>
      </c>
      <c r="J150" s="67" t="s">
        <v>70</v>
      </c>
      <c r="K150" s="67">
        <v>54.3</v>
      </c>
      <c r="L150" s="299">
        <f t="shared" si="6"/>
        <v>0</v>
      </c>
      <c r="M150" s="221" t="s">
        <v>629</v>
      </c>
      <c r="N150" s="220">
        <f>IF(OR(M150="nio",M150="eigen dienst"),0,IF(M150&gt;0,M150*K150/O150,0))*VLOOKUP(B150,'2-Kosten per locatie'!$A$14:$C$33,3,FALSE)</f>
        <v>0</v>
      </c>
      <c r="O150" s="300">
        <f>IF(OR(M150="nio",M150="eigen dienst"),0,IF(M150&gt;0,VLOOKUP(H150,'3-Productie normen'!A:J,VLOOKUP(M150,'3-Productie normen'!$B$34:$C$35,2,FALSE),FALSE)))</f>
        <v>0</v>
      </c>
      <c r="P150" s="301">
        <f>VLOOKUP(H150,'3-Productie normen'!A:L,12,FALSE)</f>
        <v>0</v>
      </c>
      <c r="Q150" s="301"/>
      <c r="S150" s="302">
        <f t="shared" si="7"/>
        <v>0</v>
      </c>
    </row>
    <row r="151" spans="1:19" ht="14.15" customHeight="1">
      <c r="A151" s="71">
        <v>151</v>
      </c>
      <c r="B151" s="67" t="s">
        <v>205</v>
      </c>
      <c r="C151" s="467" t="s">
        <v>616</v>
      </c>
      <c r="D151" s="467" t="s">
        <v>720</v>
      </c>
      <c r="E151" s="67" t="s">
        <v>713</v>
      </c>
      <c r="F151" s="67" t="s">
        <v>341</v>
      </c>
      <c r="G151" s="67" t="s">
        <v>545</v>
      </c>
      <c r="H151" s="67" t="s">
        <v>630</v>
      </c>
      <c r="I151" s="67" t="s">
        <v>70</v>
      </c>
      <c r="J151" s="67" t="s">
        <v>70</v>
      </c>
      <c r="K151" s="67">
        <v>54.3</v>
      </c>
      <c r="L151" s="299">
        <f t="shared" si="6"/>
        <v>0</v>
      </c>
      <c r="M151" s="221" t="s">
        <v>629</v>
      </c>
      <c r="N151" s="220">
        <f>IF(OR(M151="nio",M151="eigen dienst"),0,IF(M151&gt;0,M151*K151/O151,0))*VLOOKUP(B151,'2-Kosten per locatie'!$A$14:$C$33,3,FALSE)</f>
        <v>0</v>
      </c>
      <c r="O151" s="300">
        <f>IF(OR(M151="nio",M151="eigen dienst"),0,IF(M151&gt;0,VLOOKUP(H151,'3-Productie normen'!A:J,VLOOKUP(M151,'3-Productie normen'!$B$34:$C$35,2,FALSE),FALSE)))</f>
        <v>0</v>
      </c>
      <c r="P151" s="301">
        <f>VLOOKUP(H151,'3-Productie normen'!A:L,12,FALSE)</f>
        <v>0</v>
      </c>
      <c r="Q151" s="301"/>
      <c r="S151" s="302">
        <f t="shared" si="7"/>
        <v>0</v>
      </c>
    </row>
    <row r="152" spans="1:19" ht="14.15" customHeight="1">
      <c r="A152" s="71">
        <v>152</v>
      </c>
      <c r="B152" s="67" t="s">
        <v>205</v>
      </c>
      <c r="C152" s="467" t="s">
        <v>616</v>
      </c>
      <c r="D152" s="467" t="s">
        <v>720</v>
      </c>
      <c r="E152" s="67" t="s">
        <v>713</v>
      </c>
      <c r="F152" s="67" t="s">
        <v>342</v>
      </c>
      <c r="G152" s="67" t="s">
        <v>546</v>
      </c>
      <c r="H152" s="67" t="s">
        <v>630</v>
      </c>
      <c r="I152" s="67" t="s">
        <v>597</v>
      </c>
      <c r="J152" s="67" t="s">
        <v>201</v>
      </c>
      <c r="K152" s="67">
        <v>6.3</v>
      </c>
      <c r="L152" s="299">
        <f t="shared" si="6"/>
        <v>0</v>
      </c>
      <c r="M152" s="221" t="s">
        <v>629</v>
      </c>
      <c r="N152" s="220">
        <f>IF(OR(M152="nio",M152="eigen dienst"),0,IF(M152&gt;0,M152*K152/O152,0))*VLOOKUP(B152,'2-Kosten per locatie'!$A$14:$C$33,3,FALSE)</f>
        <v>0</v>
      </c>
      <c r="O152" s="300">
        <f>IF(OR(M152="nio",M152="eigen dienst"),0,IF(M152&gt;0,VLOOKUP(H152,'3-Productie normen'!A:J,VLOOKUP(M152,'3-Productie normen'!$B$34:$C$35,2,FALSE),FALSE)))</f>
        <v>0</v>
      </c>
      <c r="P152" s="301">
        <f>VLOOKUP(H152,'3-Productie normen'!A:L,12,FALSE)</f>
        <v>0</v>
      </c>
      <c r="Q152" s="301"/>
      <c r="S152" s="302">
        <f t="shared" si="7"/>
        <v>0</v>
      </c>
    </row>
    <row r="153" spans="1:19" ht="14.15" customHeight="1">
      <c r="A153" s="71">
        <v>153</v>
      </c>
      <c r="B153" s="67" t="s">
        <v>205</v>
      </c>
      <c r="C153" s="467" t="s">
        <v>616</v>
      </c>
      <c r="D153" s="467" t="s">
        <v>720</v>
      </c>
      <c r="E153" s="67" t="s">
        <v>713</v>
      </c>
      <c r="F153" s="67" t="s">
        <v>343</v>
      </c>
      <c r="G153" s="67" t="s">
        <v>547</v>
      </c>
      <c r="H153" s="67" t="s">
        <v>630</v>
      </c>
      <c r="I153" s="67" t="s">
        <v>70</v>
      </c>
      <c r="J153" s="67" t="s">
        <v>70</v>
      </c>
      <c r="K153" s="67">
        <v>4.5</v>
      </c>
      <c r="L153" s="299">
        <f t="shared" si="6"/>
        <v>0</v>
      </c>
      <c r="M153" s="221" t="s">
        <v>629</v>
      </c>
      <c r="N153" s="220">
        <f>IF(OR(M153="nio",M153="eigen dienst"),0,IF(M153&gt;0,M153*K153/O153,0))*VLOOKUP(B153,'2-Kosten per locatie'!$A$14:$C$33,3,FALSE)</f>
        <v>0</v>
      </c>
      <c r="O153" s="300">
        <f>IF(OR(M153="nio",M153="eigen dienst"),0,IF(M153&gt;0,VLOOKUP(H153,'3-Productie normen'!A:J,VLOOKUP(M153,'3-Productie normen'!$B$34:$C$35,2,FALSE),FALSE)))</f>
        <v>0</v>
      </c>
      <c r="P153" s="301">
        <f>VLOOKUP(H153,'3-Productie normen'!A:L,12,FALSE)</f>
        <v>0</v>
      </c>
      <c r="Q153" s="301"/>
      <c r="S153" s="302">
        <f t="shared" si="7"/>
        <v>0</v>
      </c>
    </row>
    <row r="154" spans="1:19" ht="14.15" customHeight="1">
      <c r="A154" s="71">
        <v>154</v>
      </c>
      <c r="B154" s="67" t="s">
        <v>210</v>
      </c>
      <c r="C154" s="467" t="s">
        <v>619</v>
      </c>
      <c r="D154" s="467" t="s">
        <v>720</v>
      </c>
      <c r="E154" s="67" t="s">
        <v>713</v>
      </c>
      <c r="F154" s="67" t="s">
        <v>220</v>
      </c>
      <c r="G154" s="67" t="s">
        <v>47</v>
      </c>
      <c r="H154" s="67" t="s">
        <v>47</v>
      </c>
      <c r="I154" s="67" t="s">
        <v>597</v>
      </c>
      <c r="J154" s="67" t="s">
        <v>201</v>
      </c>
      <c r="K154" s="67">
        <v>8.4</v>
      </c>
      <c r="L154" s="299">
        <f t="shared" si="6"/>
        <v>200</v>
      </c>
      <c r="M154" s="221">
        <v>200</v>
      </c>
      <c r="N154" s="220" t="e">
        <f>IF(OR(M154="nio",M154="eigen dienst"),0,IF(M154&gt;0,M154*K154/O154,0))*VLOOKUP(B154,'2-Kosten per locatie'!$A$14:$C$33,3,FALSE)</f>
        <v>#DIV/0!</v>
      </c>
      <c r="O154" s="300">
        <f>IF(OR(M154="nio",M154="eigen dienst"),0,IF(M154&gt;0,VLOOKUP(H154,'3-Productie normen'!A:J,VLOOKUP(M154,'3-Productie normen'!$B$34:$C$35,2,FALSE),FALSE)))</f>
        <v>0</v>
      </c>
      <c r="P154" s="301" t="str">
        <f>VLOOKUP(H154,'3-Productie normen'!A:L,12,FALSE)</f>
        <v>V</v>
      </c>
      <c r="Q154" s="301"/>
      <c r="S154" s="302">
        <f t="shared" si="7"/>
        <v>1680</v>
      </c>
    </row>
    <row r="155" spans="1:19" ht="14.15" customHeight="1">
      <c r="A155" s="71">
        <v>155</v>
      </c>
      <c r="B155" s="67" t="s">
        <v>210</v>
      </c>
      <c r="C155" s="467" t="s">
        <v>619</v>
      </c>
      <c r="D155" s="467" t="s">
        <v>720</v>
      </c>
      <c r="E155" s="67" t="s">
        <v>713</v>
      </c>
      <c r="F155" s="67" t="s">
        <v>228</v>
      </c>
      <c r="G155" s="67" t="s">
        <v>515</v>
      </c>
      <c r="H155" s="67" t="s">
        <v>609</v>
      </c>
      <c r="I155" s="67" t="s">
        <v>70</v>
      </c>
      <c r="J155" s="67" t="s">
        <v>70</v>
      </c>
      <c r="K155" s="67">
        <v>57.4</v>
      </c>
      <c r="L155" s="299">
        <f t="shared" si="6"/>
        <v>200</v>
      </c>
      <c r="M155" s="221">
        <v>200</v>
      </c>
      <c r="N155" s="220" t="e">
        <f>IF(OR(M155="nio",M155="eigen dienst"),0,IF(M155&gt;0,M155*K155/O155,0))*VLOOKUP(B155,'2-Kosten per locatie'!$A$14:$C$33,3,FALSE)</f>
        <v>#DIV/0!</v>
      </c>
      <c r="O155" s="300">
        <f>IF(OR(M155="nio",M155="eigen dienst"),0,IF(M155&gt;0,VLOOKUP(H155,'3-Productie normen'!A:J,VLOOKUP(M155,'3-Productie normen'!$B$34:$C$35,2,FALSE),FALSE)))</f>
        <v>0</v>
      </c>
      <c r="P155" s="301" t="str">
        <f>VLOOKUP(H155,'3-Productie normen'!A:L,12,FALSE)</f>
        <v>L</v>
      </c>
      <c r="Q155" s="301"/>
      <c r="S155" s="302">
        <f t="shared" si="7"/>
        <v>11480</v>
      </c>
    </row>
    <row r="156" spans="1:19" ht="14.15" customHeight="1">
      <c r="A156" s="71">
        <v>156</v>
      </c>
      <c r="B156" s="67" t="s">
        <v>210</v>
      </c>
      <c r="C156" s="467" t="s">
        <v>619</v>
      </c>
      <c r="D156" s="467" t="s">
        <v>720</v>
      </c>
      <c r="E156" s="67" t="s">
        <v>713</v>
      </c>
      <c r="F156" s="67" t="s">
        <v>229</v>
      </c>
      <c r="G156" s="67" t="s">
        <v>515</v>
      </c>
      <c r="H156" s="67" t="s">
        <v>609</v>
      </c>
      <c r="I156" s="67" t="s">
        <v>70</v>
      </c>
      <c r="J156" s="67" t="s">
        <v>70</v>
      </c>
      <c r="K156" s="67">
        <v>61</v>
      </c>
      <c r="L156" s="299">
        <f t="shared" si="6"/>
        <v>200</v>
      </c>
      <c r="M156" s="221">
        <v>200</v>
      </c>
      <c r="N156" s="220" t="e">
        <f>IF(OR(M156="nio",M156="eigen dienst"),0,IF(M156&gt;0,M156*K156/O156,0))*VLOOKUP(B156,'2-Kosten per locatie'!$A$14:$C$33,3,FALSE)</f>
        <v>#DIV/0!</v>
      </c>
      <c r="O156" s="300">
        <f>IF(OR(M156="nio",M156="eigen dienst"),0,IF(M156&gt;0,VLOOKUP(H156,'3-Productie normen'!A:J,VLOOKUP(M156,'3-Productie normen'!$B$34:$C$35,2,FALSE),FALSE)))</f>
        <v>0</v>
      </c>
      <c r="P156" s="301" t="str">
        <f>VLOOKUP(H156,'3-Productie normen'!A:L,12,FALSE)</f>
        <v>L</v>
      </c>
      <c r="Q156" s="301"/>
      <c r="S156" s="302">
        <f t="shared" si="7"/>
        <v>12200</v>
      </c>
    </row>
    <row r="157" spans="1:19" ht="14.15" customHeight="1">
      <c r="A157" s="71">
        <v>157</v>
      </c>
      <c r="B157" s="67" t="s">
        <v>210</v>
      </c>
      <c r="C157" s="467" t="s">
        <v>619</v>
      </c>
      <c r="D157" s="467" t="s">
        <v>720</v>
      </c>
      <c r="E157" s="67" t="s">
        <v>713</v>
      </c>
      <c r="F157" s="67" t="s">
        <v>230</v>
      </c>
      <c r="G157" s="67" t="s">
        <v>515</v>
      </c>
      <c r="H157" s="67" t="s">
        <v>609</v>
      </c>
      <c r="I157" s="67" t="s">
        <v>70</v>
      </c>
      <c r="J157" s="67" t="s">
        <v>70</v>
      </c>
      <c r="K157" s="67">
        <v>26</v>
      </c>
      <c r="L157" s="299">
        <f t="shared" si="6"/>
        <v>200</v>
      </c>
      <c r="M157" s="221">
        <v>200</v>
      </c>
      <c r="N157" s="220" t="e">
        <f>IF(OR(M157="nio",M157="eigen dienst"),0,IF(M157&gt;0,M157*K157/O157,0))*VLOOKUP(B157,'2-Kosten per locatie'!$A$14:$C$33,3,FALSE)</f>
        <v>#DIV/0!</v>
      </c>
      <c r="O157" s="300">
        <f>IF(OR(M157="nio",M157="eigen dienst"),0,IF(M157&gt;0,VLOOKUP(H157,'3-Productie normen'!A:J,VLOOKUP(M157,'3-Productie normen'!$B$34:$C$35,2,FALSE),FALSE)))</f>
        <v>0</v>
      </c>
      <c r="P157" s="301" t="str">
        <f>VLOOKUP(H157,'3-Productie normen'!A:L,12,FALSE)</f>
        <v>L</v>
      </c>
      <c r="Q157" s="301"/>
      <c r="S157" s="302">
        <f t="shared" si="7"/>
        <v>5200</v>
      </c>
    </row>
    <row r="158" spans="1:19" ht="14.15" customHeight="1">
      <c r="A158" s="71">
        <v>158</v>
      </c>
      <c r="B158" s="67" t="s">
        <v>210</v>
      </c>
      <c r="C158" s="467" t="s">
        <v>619</v>
      </c>
      <c r="D158" s="467" t="s">
        <v>720</v>
      </c>
      <c r="E158" s="67" t="s">
        <v>713</v>
      </c>
      <c r="F158" s="67" t="s">
        <v>494</v>
      </c>
      <c r="G158" s="67" t="s">
        <v>515</v>
      </c>
      <c r="H158" s="67" t="s">
        <v>609</v>
      </c>
      <c r="I158" s="67" t="s">
        <v>70</v>
      </c>
      <c r="J158" s="67" t="s">
        <v>70</v>
      </c>
      <c r="K158" s="67">
        <v>58.4</v>
      </c>
      <c r="L158" s="299">
        <f t="shared" si="6"/>
        <v>200</v>
      </c>
      <c r="M158" s="221">
        <v>200</v>
      </c>
      <c r="N158" s="220" t="e">
        <f>IF(OR(M158="nio",M158="eigen dienst"),0,IF(M158&gt;0,M158*K158/O158,0))*VLOOKUP(B158,'2-Kosten per locatie'!$A$14:$C$33,3,FALSE)</f>
        <v>#DIV/0!</v>
      </c>
      <c r="O158" s="300">
        <f>IF(OR(M158="nio",M158="eigen dienst"),0,IF(M158&gt;0,VLOOKUP(H158,'3-Productie normen'!A:J,VLOOKUP(M158,'3-Productie normen'!$B$34:$C$35,2,FALSE),FALSE)))</f>
        <v>0</v>
      </c>
      <c r="P158" s="301" t="str">
        <f>VLOOKUP(H158,'3-Productie normen'!A:L,12,FALSE)</f>
        <v>L</v>
      </c>
      <c r="Q158" s="301"/>
      <c r="S158" s="302">
        <f t="shared" si="7"/>
        <v>11680</v>
      </c>
    </row>
    <row r="159" spans="1:19" ht="14.15" customHeight="1">
      <c r="A159" s="71">
        <v>159</v>
      </c>
      <c r="B159" s="67" t="s">
        <v>210</v>
      </c>
      <c r="C159" s="467" t="s">
        <v>619</v>
      </c>
      <c r="D159" s="467" t="s">
        <v>720</v>
      </c>
      <c r="E159" s="67" t="s">
        <v>713</v>
      </c>
      <c r="F159" s="67" t="s">
        <v>495</v>
      </c>
      <c r="G159" s="67" t="s">
        <v>515</v>
      </c>
      <c r="H159" s="67" t="s">
        <v>609</v>
      </c>
      <c r="I159" s="67" t="s">
        <v>70</v>
      </c>
      <c r="J159" s="67" t="s">
        <v>70</v>
      </c>
      <c r="K159" s="67">
        <v>58.4</v>
      </c>
      <c r="L159" s="299">
        <f t="shared" si="6"/>
        <v>200</v>
      </c>
      <c r="M159" s="221">
        <v>200</v>
      </c>
      <c r="N159" s="220" t="e">
        <f>IF(OR(M159="nio",M159="eigen dienst"),0,IF(M159&gt;0,M159*K159/O159,0))*VLOOKUP(B159,'2-Kosten per locatie'!$A$14:$C$33,3,FALSE)</f>
        <v>#DIV/0!</v>
      </c>
      <c r="O159" s="300">
        <f>IF(OR(M159="nio",M159="eigen dienst"),0,IF(M159&gt;0,VLOOKUP(H159,'3-Productie normen'!A:J,VLOOKUP(M159,'3-Productie normen'!$B$34:$C$35,2,FALSE),FALSE)))</f>
        <v>0</v>
      </c>
      <c r="P159" s="301" t="str">
        <f>VLOOKUP(H159,'3-Productie normen'!A:L,12,FALSE)</f>
        <v>L</v>
      </c>
      <c r="Q159" s="301"/>
      <c r="S159" s="302">
        <f t="shared" si="7"/>
        <v>11680</v>
      </c>
    </row>
    <row r="160" spans="1:19" ht="14.15" customHeight="1">
      <c r="A160" s="71">
        <v>160</v>
      </c>
      <c r="B160" s="67" t="s">
        <v>210</v>
      </c>
      <c r="C160" s="467" t="s">
        <v>619</v>
      </c>
      <c r="D160" s="467" t="s">
        <v>720</v>
      </c>
      <c r="E160" s="67" t="s">
        <v>713</v>
      </c>
      <c r="F160" s="67" t="s">
        <v>615</v>
      </c>
      <c r="G160" s="67" t="s">
        <v>515</v>
      </c>
      <c r="H160" s="67" t="s">
        <v>609</v>
      </c>
      <c r="I160" s="67" t="s">
        <v>70</v>
      </c>
      <c r="J160" s="67" t="s">
        <v>70</v>
      </c>
      <c r="K160" s="67">
        <v>58.4</v>
      </c>
      <c r="L160" s="299">
        <f t="shared" si="6"/>
        <v>200</v>
      </c>
      <c r="M160" s="221">
        <v>200</v>
      </c>
      <c r="N160" s="220" t="e">
        <f>IF(OR(M160="nio",M160="eigen dienst"),0,IF(M160&gt;0,M160*K160/O160,0))*VLOOKUP(B160,'2-Kosten per locatie'!$A$14:$C$33,3,FALSE)</f>
        <v>#DIV/0!</v>
      </c>
      <c r="O160" s="300">
        <f>IF(OR(M160="nio",M160="eigen dienst"),0,IF(M160&gt;0,VLOOKUP(H160,'3-Productie normen'!A:J,VLOOKUP(M160,'3-Productie normen'!$B$34:$C$35,2,FALSE),FALSE)))</f>
        <v>0</v>
      </c>
      <c r="P160" s="301" t="str">
        <f>VLOOKUP(H160,'3-Productie normen'!A:L,12,FALSE)</f>
        <v>L</v>
      </c>
      <c r="Q160" s="301"/>
      <c r="S160" s="302">
        <f t="shared" si="7"/>
        <v>11680</v>
      </c>
    </row>
    <row r="161" spans="1:19" ht="14.15" customHeight="1">
      <c r="A161" s="71">
        <v>161</v>
      </c>
      <c r="B161" s="67" t="s">
        <v>210</v>
      </c>
      <c r="C161" s="467" t="s">
        <v>619</v>
      </c>
      <c r="D161" s="467" t="s">
        <v>720</v>
      </c>
      <c r="E161" s="67" t="s">
        <v>713</v>
      </c>
      <c r="F161" s="67" t="s">
        <v>231</v>
      </c>
      <c r="G161" s="67" t="s">
        <v>512</v>
      </c>
      <c r="H161" s="67" t="s">
        <v>39</v>
      </c>
      <c r="I161" s="67" t="s">
        <v>70</v>
      </c>
      <c r="J161" s="67" t="s">
        <v>70</v>
      </c>
      <c r="K161" s="67">
        <v>99.9</v>
      </c>
      <c r="L161" s="299">
        <f t="shared" si="6"/>
        <v>200</v>
      </c>
      <c r="M161" s="221">
        <v>200</v>
      </c>
      <c r="N161" s="220" t="e">
        <f>IF(OR(M161="nio",M161="eigen dienst"),0,IF(M161&gt;0,M161*K161/O161,0))*VLOOKUP(B161,'2-Kosten per locatie'!$A$14:$C$33,3,FALSE)</f>
        <v>#DIV/0!</v>
      </c>
      <c r="O161" s="300">
        <f>IF(OR(M161="nio",M161="eigen dienst"),0,IF(M161&gt;0,VLOOKUP(H161,'3-Productie normen'!A:J,VLOOKUP(M161,'3-Productie normen'!$B$34:$C$35,2,FALSE),FALSE)))</f>
        <v>0</v>
      </c>
      <c r="P161" s="301" t="str">
        <f>VLOOKUP(H161,'3-Productie normen'!A:L,12,FALSE)</f>
        <v>V</v>
      </c>
      <c r="Q161" s="301"/>
      <c r="S161" s="302">
        <f t="shared" si="7"/>
        <v>19980</v>
      </c>
    </row>
    <row r="162" spans="1:19" ht="14.15" customHeight="1">
      <c r="A162" s="71">
        <v>162</v>
      </c>
      <c r="B162" s="67" t="s">
        <v>210</v>
      </c>
      <c r="C162" s="467" t="s">
        <v>619</v>
      </c>
      <c r="D162" s="467" t="s">
        <v>720</v>
      </c>
      <c r="E162" s="67" t="s">
        <v>713</v>
      </c>
      <c r="F162" s="67" t="s">
        <v>232</v>
      </c>
      <c r="G162" s="67" t="s">
        <v>514</v>
      </c>
      <c r="H162" s="67" t="s">
        <v>37</v>
      </c>
      <c r="I162" s="67" t="s">
        <v>601</v>
      </c>
      <c r="J162" s="67" t="s">
        <v>179</v>
      </c>
      <c r="K162" s="67">
        <v>9.4</v>
      </c>
      <c r="L162" s="299">
        <f t="shared" si="6"/>
        <v>200</v>
      </c>
      <c r="M162" s="221">
        <v>200</v>
      </c>
      <c r="N162" s="220" t="e">
        <f>IF(OR(M162="nio",M162="eigen dienst"),0,IF(M162&gt;0,M162*K162/O162,0))*VLOOKUP(B162,'2-Kosten per locatie'!$A$14:$C$33,3,FALSE)</f>
        <v>#DIV/0!</v>
      </c>
      <c r="O162" s="300">
        <f>IF(OR(M162="nio",M162="eigen dienst"),0,IF(M162&gt;0,VLOOKUP(H162,'3-Productie normen'!A:J,VLOOKUP(M162,'3-Productie normen'!$B$34:$C$35,2,FALSE),FALSE)))</f>
        <v>0</v>
      </c>
      <c r="P162" s="301" t="str">
        <f>VLOOKUP(H162,'3-Productie normen'!A:L,12,FALSE)</f>
        <v>S</v>
      </c>
      <c r="Q162" s="301"/>
      <c r="S162" s="302">
        <f t="shared" si="7"/>
        <v>1880</v>
      </c>
    </row>
    <row r="163" spans="1:19" ht="14.15" customHeight="1">
      <c r="A163" s="71">
        <v>163</v>
      </c>
      <c r="B163" s="67" t="s">
        <v>210</v>
      </c>
      <c r="C163" s="467" t="s">
        <v>619</v>
      </c>
      <c r="D163" s="467" t="s">
        <v>720</v>
      </c>
      <c r="E163" s="67" t="s">
        <v>713</v>
      </c>
      <c r="F163" s="67" t="s">
        <v>233</v>
      </c>
      <c r="G163" s="67" t="s">
        <v>514</v>
      </c>
      <c r="H163" s="67" t="s">
        <v>37</v>
      </c>
      <c r="I163" s="67" t="s">
        <v>601</v>
      </c>
      <c r="J163" s="67" t="s">
        <v>179</v>
      </c>
      <c r="K163" s="67">
        <v>9.4</v>
      </c>
      <c r="L163" s="299">
        <f t="shared" si="6"/>
        <v>200</v>
      </c>
      <c r="M163" s="221">
        <v>200</v>
      </c>
      <c r="N163" s="220" t="e">
        <f>IF(OR(M163="nio",M163="eigen dienst"),0,IF(M163&gt;0,M163*K163/O163,0))*VLOOKUP(B163,'2-Kosten per locatie'!$A$14:$C$33,3,FALSE)</f>
        <v>#DIV/0!</v>
      </c>
      <c r="O163" s="300">
        <f>IF(OR(M163="nio",M163="eigen dienst"),0,IF(M163&gt;0,VLOOKUP(H163,'3-Productie normen'!A:J,VLOOKUP(M163,'3-Productie normen'!$B$34:$C$35,2,FALSE),FALSE)))</f>
        <v>0</v>
      </c>
      <c r="P163" s="301" t="str">
        <f>VLOOKUP(H163,'3-Productie normen'!A:L,12,FALSE)</f>
        <v>S</v>
      </c>
      <c r="Q163" s="301"/>
      <c r="S163" s="302">
        <f t="shared" si="7"/>
        <v>1880</v>
      </c>
    </row>
    <row r="164" spans="1:19" ht="14.15" customHeight="1">
      <c r="A164" s="71">
        <v>164</v>
      </c>
      <c r="B164" s="67" t="s">
        <v>210</v>
      </c>
      <c r="C164" s="467" t="s">
        <v>619</v>
      </c>
      <c r="D164" s="467" t="s">
        <v>720</v>
      </c>
      <c r="E164" s="67" t="s">
        <v>713</v>
      </c>
      <c r="F164" s="67" t="s">
        <v>234</v>
      </c>
      <c r="G164" s="67" t="s">
        <v>514</v>
      </c>
      <c r="H164" s="67" t="s">
        <v>37</v>
      </c>
      <c r="I164" s="67" t="s">
        <v>601</v>
      </c>
      <c r="J164" s="67" t="s">
        <v>179</v>
      </c>
      <c r="K164" s="67">
        <v>1.5</v>
      </c>
      <c r="L164" s="299">
        <f t="shared" si="6"/>
        <v>200</v>
      </c>
      <c r="M164" s="221">
        <v>200</v>
      </c>
      <c r="N164" s="220" t="e">
        <f>IF(OR(M164="nio",M164="eigen dienst"),0,IF(M164&gt;0,M164*K164/O164,0))*VLOOKUP(B164,'2-Kosten per locatie'!$A$14:$C$33,3,FALSE)</f>
        <v>#DIV/0!</v>
      </c>
      <c r="O164" s="300">
        <f>IF(OR(M164="nio",M164="eigen dienst"),0,IF(M164&gt;0,VLOOKUP(H164,'3-Productie normen'!A:J,VLOOKUP(M164,'3-Productie normen'!$B$34:$C$35,2,FALSE),FALSE)))</f>
        <v>0</v>
      </c>
      <c r="P164" s="301" t="str">
        <f>VLOOKUP(H164,'3-Productie normen'!A:L,12,FALSE)</f>
        <v>S</v>
      </c>
      <c r="Q164" s="301"/>
      <c r="S164" s="302">
        <f t="shared" si="7"/>
        <v>300</v>
      </c>
    </row>
    <row r="165" spans="1:19" ht="14.15" customHeight="1">
      <c r="A165" s="71">
        <v>165</v>
      </c>
      <c r="B165" s="67" t="s">
        <v>210</v>
      </c>
      <c r="C165" s="467" t="s">
        <v>619</v>
      </c>
      <c r="D165" s="467" t="s">
        <v>720</v>
      </c>
      <c r="E165" s="67" t="s">
        <v>713</v>
      </c>
      <c r="F165" s="67" t="s">
        <v>496</v>
      </c>
      <c r="G165" s="67" t="s">
        <v>536</v>
      </c>
      <c r="H165" s="67" t="s">
        <v>39</v>
      </c>
      <c r="I165" s="67" t="s">
        <v>601</v>
      </c>
      <c r="J165" s="67" t="s">
        <v>200</v>
      </c>
      <c r="K165" s="67">
        <v>2.9</v>
      </c>
      <c r="L165" s="299">
        <f t="shared" si="6"/>
        <v>200</v>
      </c>
      <c r="M165" s="221">
        <v>200</v>
      </c>
      <c r="N165" s="220" t="e">
        <f>IF(OR(M165="nio",M165="eigen dienst"),0,IF(M165&gt;0,M165*K165/O165,0))*VLOOKUP(B165,'2-Kosten per locatie'!$A$14:$C$33,3,FALSE)</f>
        <v>#DIV/0!</v>
      </c>
      <c r="O165" s="300">
        <f>IF(OR(M165="nio",M165="eigen dienst"),0,IF(M165&gt;0,VLOOKUP(H165,'3-Productie normen'!A:J,VLOOKUP(M165,'3-Productie normen'!$B$34:$C$35,2,FALSE),FALSE)))</f>
        <v>0</v>
      </c>
      <c r="P165" s="301" t="str">
        <f>VLOOKUP(H165,'3-Productie normen'!A:L,12,FALSE)</f>
        <v>V</v>
      </c>
      <c r="Q165" s="301"/>
      <c r="S165" s="302">
        <f t="shared" si="7"/>
        <v>580</v>
      </c>
    </row>
    <row r="166" spans="1:19" ht="14.15" customHeight="1">
      <c r="A166" s="71">
        <v>166</v>
      </c>
      <c r="B166" s="67" t="s">
        <v>210</v>
      </c>
      <c r="C166" s="467" t="s">
        <v>619</v>
      </c>
      <c r="D166" s="467" t="s">
        <v>720</v>
      </c>
      <c r="E166" s="67" t="s">
        <v>713</v>
      </c>
      <c r="F166" s="67" t="s">
        <v>235</v>
      </c>
      <c r="G166" s="67" t="s">
        <v>580</v>
      </c>
      <c r="H166" s="67" t="s">
        <v>35</v>
      </c>
      <c r="I166" s="67" t="s">
        <v>70</v>
      </c>
      <c r="J166" s="67" t="s">
        <v>70</v>
      </c>
      <c r="K166" s="67">
        <v>33.799999999999997</v>
      </c>
      <c r="L166" s="299">
        <f t="shared" si="6"/>
        <v>200</v>
      </c>
      <c r="M166" s="221">
        <v>200</v>
      </c>
      <c r="N166" s="220" t="e">
        <f>IF(OR(M166="nio",M166="eigen dienst"),0,IF(M166&gt;0,M166*K166/O166,0))*VLOOKUP(B166,'2-Kosten per locatie'!$A$14:$C$33,3,FALSE)</f>
        <v>#DIV/0!</v>
      </c>
      <c r="O166" s="300">
        <f>IF(OR(M166="nio",M166="eigen dienst"),0,IF(M166&gt;0,VLOOKUP(H166,'3-Productie normen'!A:J,VLOOKUP(M166,'3-Productie normen'!$B$34:$C$35,2,FALSE),FALSE)))</f>
        <v>0</v>
      </c>
      <c r="P166" s="301" t="str">
        <f>VLOOKUP(H166,'3-Productie normen'!A:L,12,FALSE)</f>
        <v>B</v>
      </c>
      <c r="Q166" s="301"/>
      <c r="S166" s="302">
        <f t="shared" si="7"/>
        <v>6759.9999999999991</v>
      </c>
    </row>
    <row r="167" spans="1:19" ht="14.15" customHeight="1">
      <c r="A167" s="71">
        <v>167</v>
      </c>
      <c r="B167" s="67" t="s">
        <v>210</v>
      </c>
      <c r="C167" s="467" t="s">
        <v>619</v>
      </c>
      <c r="D167" s="467" t="s">
        <v>720</v>
      </c>
      <c r="E167" s="67" t="s">
        <v>713</v>
      </c>
      <c r="F167" s="67" t="s">
        <v>236</v>
      </c>
      <c r="G167" s="67" t="s">
        <v>520</v>
      </c>
      <c r="H167" s="67" t="s">
        <v>520</v>
      </c>
      <c r="I167" s="67" t="s">
        <v>70</v>
      </c>
      <c r="J167" s="67" t="s">
        <v>70</v>
      </c>
      <c r="K167" s="67">
        <v>143.19999999999999</v>
      </c>
      <c r="L167" s="299">
        <f t="shared" si="6"/>
        <v>200</v>
      </c>
      <c r="M167" s="221">
        <v>200</v>
      </c>
      <c r="N167" s="220" t="e">
        <f>IF(OR(M167="nio",M167="eigen dienst"),0,IF(M167&gt;0,M167*K167/O167,0))*VLOOKUP(B167,'2-Kosten per locatie'!$A$14:$C$33,3,FALSE)</f>
        <v>#DIV/0!</v>
      </c>
      <c r="O167" s="300">
        <f>IF(OR(M167="nio",M167="eigen dienst"),0,IF(M167&gt;0,VLOOKUP(H167,'3-Productie normen'!A:J,VLOOKUP(M167,'3-Productie normen'!$B$34:$C$35,2,FALSE),FALSE)))</f>
        <v>0</v>
      </c>
      <c r="P167" s="301" t="str">
        <f>VLOOKUP(H167,'3-Productie normen'!A:L,12,FALSE)</f>
        <v>V</v>
      </c>
      <c r="Q167" s="301"/>
      <c r="S167" s="302">
        <f t="shared" si="7"/>
        <v>28639.999999999996</v>
      </c>
    </row>
    <row r="168" spans="1:19" ht="14.15" customHeight="1">
      <c r="A168" s="71">
        <v>168</v>
      </c>
      <c r="B168" s="67" t="s">
        <v>210</v>
      </c>
      <c r="C168" s="467" t="s">
        <v>619</v>
      </c>
      <c r="D168" s="467" t="s">
        <v>720</v>
      </c>
      <c r="E168" s="67" t="s">
        <v>713</v>
      </c>
      <c r="F168" s="67" t="s">
        <v>497</v>
      </c>
      <c r="G168" s="67" t="s">
        <v>581</v>
      </c>
      <c r="H168" s="67" t="s">
        <v>520</v>
      </c>
      <c r="I168" s="67" t="s">
        <v>70</v>
      </c>
      <c r="J168" s="67" t="s">
        <v>70</v>
      </c>
      <c r="K168" s="67">
        <v>37.6</v>
      </c>
      <c r="L168" s="299">
        <f t="shared" si="6"/>
        <v>200</v>
      </c>
      <c r="M168" s="221">
        <v>200</v>
      </c>
      <c r="N168" s="220" t="e">
        <f>IF(OR(M168="nio",M168="eigen dienst"),0,IF(M168&gt;0,M168*K168/O168,0))*VLOOKUP(B168,'2-Kosten per locatie'!$A$14:$C$33,3,FALSE)</f>
        <v>#DIV/0!</v>
      </c>
      <c r="O168" s="300">
        <f>IF(OR(M168="nio",M168="eigen dienst"),0,IF(M168&gt;0,VLOOKUP(H168,'3-Productie normen'!A:J,VLOOKUP(M168,'3-Productie normen'!$B$34:$C$35,2,FALSE),FALSE)))</f>
        <v>0</v>
      </c>
      <c r="P168" s="301" t="str">
        <f>VLOOKUP(H168,'3-Productie normen'!A:L,12,FALSE)</f>
        <v>V</v>
      </c>
      <c r="Q168" s="301"/>
      <c r="S168" s="302">
        <f t="shared" si="7"/>
        <v>7520</v>
      </c>
    </row>
    <row r="169" spans="1:19" ht="14.15" customHeight="1">
      <c r="A169" s="71">
        <v>169</v>
      </c>
      <c r="B169" s="67" t="s">
        <v>210</v>
      </c>
      <c r="C169" s="467" t="s">
        <v>619</v>
      </c>
      <c r="D169" s="467" t="s">
        <v>720</v>
      </c>
      <c r="E169" s="67" t="s">
        <v>713</v>
      </c>
      <c r="F169" s="67" t="s">
        <v>498</v>
      </c>
      <c r="G169" s="67" t="s">
        <v>518</v>
      </c>
      <c r="H169" s="67" t="s">
        <v>630</v>
      </c>
      <c r="I169" s="67" t="s">
        <v>70</v>
      </c>
      <c r="J169" s="67" t="s">
        <v>70</v>
      </c>
      <c r="K169" s="67">
        <v>27.3</v>
      </c>
      <c r="L169" s="299">
        <f t="shared" si="6"/>
        <v>0</v>
      </c>
      <c r="M169" s="221" t="s">
        <v>629</v>
      </c>
      <c r="N169" s="220">
        <f>IF(OR(M169="nio",M169="eigen dienst"),0,IF(M169&gt;0,M169*K169/O169,0))*VLOOKUP(B169,'2-Kosten per locatie'!$A$14:$C$33,3,FALSE)</f>
        <v>0</v>
      </c>
      <c r="O169" s="300">
        <f>IF(OR(M169="nio",M169="eigen dienst"),0,IF(M169&gt;0,VLOOKUP(H169,'3-Productie normen'!A:J,VLOOKUP(M169,'3-Productie normen'!$B$34:$C$35,2,FALSE),FALSE)))</f>
        <v>0</v>
      </c>
      <c r="P169" s="301">
        <f>VLOOKUP(H169,'3-Productie normen'!A:L,12,FALSE)</f>
        <v>0</v>
      </c>
      <c r="Q169" s="301"/>
      <c r="S169" s="302">
        <f t="shared" si="7"/>
        <v>0</v>
      </c>
    </row>
    <row r="170" spans="1:19" ht="14.15" customHeight="1">
      <c r="A170" s="71">
        <v>170</v>
      </c>
      <c r="B170" s="67" t="s">
        <v>210</v>
      </c>
      <c r="C170" s="467" t="s">
        <v>619</v>
      </c>
      <c r="D170" s="467" t="s">
        <v>720</v>
      </c>
      <c r="E170" s="67" t="s">
        <v>713</v>
      </c>
      <c r="F170" s="67" t="s">
        <v>499</v>
      </c>
      <c r="G170" s="67" t="s">
        <v>512</v>
      </c>
      <c r="H170" s="67" t="s">
        <v>630</v>
      </c>
      <c r="I170" s="67" t="s">
        <v>70</v>
      </c>
      <c r="J170" s="67" t="s">
        <v>70</v>
      </c>
      <c r="K170" s="67">
        <v>5.6</v>
      </c>
      <c r="L170" s="299">
        <f t="shared" si="6"/>
        <v>0</v>
      </c>
      <c r="M170" s="221" t="s">
        <v>629</v>
      </c>
      <c r="N170" s="220">
        <f>IF(OR(M170="nio",M170="eigen dienst"),0,IF(M170&gt;0,M170*K170/O170,0))*VLOOKUP(B170,'2-Kosten per locatie'!$A$14:$C$33,3,FALSE)</f>
        <v>0</v>
      </c>
      <c r="O170" s="300">
        <f>IF(OR(M170="nio",M170="eigen dienst"),0,IF(M170&gt;0,VLOOKUP(H170,'3-Productie normen'!A:J,VLOOKUP(M170,'3-Productie normen'!$B$34:$C$35,2,FALSE),FALSE)))</f>
        <v>0</v>
      </c>
      <c r="P170" s="301">
        <f>VLOOKUP(H170,'3-Productie normen'!A:L,12,FALSE)</f>
        <v>0</v>
      </c>
      <c r="Q170" s="301"/>
      <c r="S170" s="302">
        <f t="shared" si="7"/>
        <v>0</v>
      </c>
    </row>
    <row r="171" spans="1:19" ht="14.15" customHeight="1">
      <c r="A171" s="71">
        <v>171</v>
      </c>
      <c r="B171" s="67" t="s">
        <v>210</v>
      </c>
      <c r="C171" s="467" t="s">
        <v>619</v>
      </c>
      <c r="D171" s="467" t="s">
        <v>720</v>
      </c>
      <c r="E171" s="67" t="s">
        <v>713</v>
      </c>
      <c r="F171" s="67" t="s">
        <v>237</v>
      </c>
      <c r="G171" s="67" t="s">
        <v>519</v>
      </c>
      <c r="H171" s="67" t="s">
        <v>41</v>
      </c>
      <c r="I171" s="67" t="s">
        <v>70</v>
      </c>
      <c r="J171" s="67" t="s">
        <v>70</v>
      </c>
      <c r="K171" s="67">
        <v>10.1</v>
      </c>
      <c r="L171" s="299">
        <f t="shared" si="6"/>
        <v>200</v>
      </c>
      <c r="M171" s="221">
        <v>200</v>
      </c>
      <c r="N171" s="220" t="e">
        <f>IF(OR(M171="nio",M171="eigen dienst"),0,IF(M171&gt;0,M171*K171/O171,0))*VLOOKUP(B171,'2-Kosten per locatie'!$A$14:$C$33,3,FALSE)</f>
        <v>#DIV/0!</v>
      </c>
      <c r="O171" s="300">
        <f>IF(OR(M171="nio",M171="eigen dienst"),0,IF(M171&gt;0,VLOOKUP(H171,'3-Productie normen'!A:J,VLOOKUP(M171,'3-Productie normen'!$B$34:$C$35,2,FALSE),FALSE)))</f>
        <v>0</v>
      </c>
      <c r="P171" s="301" t="str">
        <f>VLOOKUP(H171,'3-Productie normen'!A:L,12,FALSE)</f>
        <v>V</v>
      </c>
      <c r="Q171" s="301"/>
      <c r="S171" s="302">
        <f t="shared" si="7"/>
        <v>2020</v>
      </c>
    </row>
    <row r="172" spans="1:19" ht="14.15" customHeight="1">
      <c r="A172" s="71">
        <v>172</v>
      </c>
      <c r="B172" s="67" t="s">
        <v>210</v>
      </c>
      <c r="C172" s="467" t="s">
        <v>619</v>
      </c>
      <c r="D172" s="467" t="s">
        <v>720</v>
      </c>
      <c r="E172" s="67" t="s">
        <v>713</v>
      </c>
      <c r="F172" s="67" t="s">
        <v>221</v>
      </c>
      <c r="G172" s="67" t="s">
        <v>512</v>
      </c>
      <c r="H172" s="67" t="s">
        <v>39</v>
      </c>
      <c r="I172" s="67" t="s">
        <v>70</v>
      </c>
      <c r="J172" s="67" t="s">
        <v>70</v>
      </c>
      <c r="K172" s="67">
        <v>79.3</v>
      </c>
      <c r="L172" s="299">
        <f t="shared" si="6"/>
        <v>200</v>
      </c>
      <c r="M172" s="221">
        <v>200</v>
      </c>
      <c r="N172" s="220" t="e">
        <f>IF(OR(M172="nio",M172="eigen dienst"),0,IF(M172&gt;0,M172*K172/O172,0))*VLOOKUP(B172,'2-Kosten per locatie'!$A$14:$C$33,3,FALSE)</f>
        <v>#DIV/0!</v>
      </c>
      <c r="O172" s="300">
        <f>IF(OR(M172="nio",M172="eigen dienst"),0,IF(M172&gt;0,VLOOKUP(H172,'3-Productie normen'!A:J,VLOOKUP(M172,'3-Productie normen'!$B$34:$C$35,2,FALSE),FALSE)))</f>
        <v>0</v>
      </c>
      <c r="P172" s="301" t="str">
        <f>VLOOKUP(H172,'3-Productie normen'!A:L,12,FALSE)</f>
        <v>V</v>
      </c>
      <c r="Q172" s="301"/>
      <c r="S172" s="302">
        <f t="shared" si="7"/>
        <v>15860</v>
      </c>
    </row>
    <row r="173" spans="1:19" ht="14.15" customHeight="1">
      <c r="A173" s="71">
        <v>173</v>
      </c>
      <c r="B173" s="67" t="s">
        <v>210</v>
      </c>
      <c r="C173" s="467" t="s">
        <v>619</v>
      </c>
      <c r="D173" s="467" t="s">
        <v>720</v>
      </c>
      <c r="E173" s="67" t="s">
        <v>713</v>
      </c>
      <c r="F173" s="67" t="s">
        <v>238</v>
      </c>
      <c r="G173" s="67" t="s">
        <v>518</v>
      </c>
      <c r="H173" s="67" t="s">
        <v>630</v>
      </c>
      <c r="I173" s="67" t="s">
        <v>70</v>
      </c>
      <c r="J173" s="67" t="s">
        <v>70</v>
      </c>
      <c r="K173" s="67">
        <v>1.7</v>
      </c>
      <c r="L173" s="299">
        <f t="shared" si="6"/>
        <v>0</v>
      </c>
      <c r="M173" s="221" t="s">
        <v>629</v>
      </c>
      <c r="N173" s="220">
        <f>IF(OR(M173="nio",M173="eigen dienst"),0,IF(M173&gt;0,M173*K173/O173,0))*VLOOKUP(B173,'2-Kosten per locatie'!$A$14:$C$33,3,FALSE)</f>
        <v>0</v>
      </c>
      <c r="O173" s="300">
        <f>IF(OR(M173="nio",M173="eigen dienst"),0,IF(M173&gt;0,VLOOKUP(H173,'3-Productie normen'!A:J,VLOOKUP(M173,'3-Productie normen'!$B$34:$C$35,2,FALSE),FALSE)))</f>
        <v>0</v>
      </c>
      <c r="P173" s="301">
        <f>VLOOKUP(H173,'3-Productie normen'!A:L,12,FALSE)</f>
        <v>0</v>
      </c>
      <c r="Q173" s="301"/>
      <c r="S173" s="302">
        <f t="shared" si="7"/>
        <v>0</v>
      </c>
    </row>
    <row r="174" spans="1:19" ht="14.15" customHeight="1">
      <c r="A174" s="71">
        <v>174</v>
      </c>
      <c r="B174" s="67" t="s">
        <v>210</v>
      </c>
      <c r="C174" s="467" t="s">
        <v>619</v>
      </c>
      <c r="D174" s="467" t="s">
        <v>720</v>
      </c>
      <c r="E174" s="67" t="s">
        <v>713</v>
      </c>
      <c r="F174" s="67" t="s">
        <v>239</v>
      </c>
      <c r="G174" s="67" t="s">
        <v>539</v>
      </c>
      <c r="H174" s="67" t="s">
        <v>37</v>
      </c>
      <c r="I174" s="67" t="s">
        <v>601</v>
      </c>
      <c r="J174" s="67" t="s">
        <v>179</v>
      </c>
      <c r="K174" s="67">
        <v>3.7</v>
      </c>
      <c r="L174" s="299">
        <f t="shared" si="6"/>
        <v>200</v>
      </c>
      <c r="M174" s="221">
        <v>200</v>
      </c>
      <c r="N174" s="220" t="e">
        <f>IF(OR(M174="nio",M174="eigen dienst"),0,IF(M174&gt;0,M174*K174/O174,0))*VLOOKUP(B174,'2-Kosten per locatie'!$A$14:$C$33,3,FALSE)</f>
        <v>#DIV/0!</v>
      </c>
      <c r="O174" s="300">
        <f>IF(OR(M174="nio",M174="eigen dienst"),0,IF(M174&gt;0,VLOOKUP(H174,'3-Productie normen'!A:J,VLOOKUP(M174,'3-Productie normen'!$B$34:$C$35,2,FALSE),FALSE)))</f>
        <v>0</v>
      </c>
      <c r="P174" s="301" t="str">
        <f>VLOOKUP(H174,'3-Productie normen'!A:L,12,FALSE)</f>
        <v>S</v>
      </c>
      <c r="Q174" s="301"/>
      <c r="S174" s="302">
        <f t="shared" si="7"/>
        <v>740</v>
      </c>
    </row>
    <row r="175" spans="1:19" ht="14.15" customHeight="1">
      <c r="A175" s="71">
        <v>175</v>
      </c>
      <c r="B175" s="67" t="s">
        <v>210</v>
      </c>
      <c r="C175" s="467" t="s">
        <v>619</v>
      </c>
      <c r="D175" s="467" t="s">
        <v>720</v>
      </c>
      <c r="E175" s="67" t="s">
        <v>713</v>
      </c>
      <c r="F175" s="67" t="s">
        <v>240</v>
      </c>
      <c r="G175" s="67" t="s">
        <v>516</v>
      </c>
      <c r="H175" s="67" t="s">
        <v>35</v>
      </c>
      <c r="I175" s="67" t="s">
        <v>70</v>
      </c>
      <c r="J175" s="67" t="s">
        <v>70</v>
      </c>
      <c r="K175" s="67">
        <v>17.7</v>
      </c>
      <c r="L175" s="299">
        <f t="shared" si="6"/>
        <v>200</v>
      </c>
      <c r="M175" s="221">
        <v>200</v>
      </c>
      <c r="N175" s="220" t="e">
        <f>IF(OR(M175="nio",M175="eigen dienst"),0,IF(M175&gt;0,M175*K175/O175,0))*VLOOKUP(B175,'2-Kosten per locatie'!$A$14:$C$33,3,FALSE)</f>
        <v>#DIV/0!</v>
      </c>
      <c r="O175" s="300">
        <f>IF(OR(M175="nio",M175="eigen dienst"),0,IF(M175&gt;0,VLOOKUP(H175,'3-Productie normen'!A:J,VLOOKUP(M175,'3-Productie normen'!$B$34:$C$35,2,FALSE),FALSE)))</f>
        <v>0</v>
      </c>
      <c r="P175" s="301" t="str">
        <f>VLOOKUP(H175,'3-Productie normen'!A:L,12,FALSE)</f>
        <v>B</v>
      </c>
      <c r="Q175" s="301"/>
      <c r="S175" s="302">
        <f t="shared" si="7"/>
        <v>3540</v>
      </c>
    </row>
    <row r="176" spans="1:19" ht="14.15" customHeight="1">
      <c r="A176" s="71">
        <v>176</v>
      </c>
      <c r="B176" s="67" t="s">
        <v>210</v>
      </c>
      <c r="C176" s="467" t="s">
        <v>619</v>
      </c>
      <c r="D176" s="467" t="s">
        <v>720</v>
      </c>
      <c r="E176" s="67" t="s">
        <v>713</v>
      </c>
      <c r="F176" s="67" t="s">
        <v>241</v>
      </c>
      <c r="G176" s="67" t="s">
        <v>516</v>
      </c>
      <c r="H176" s="67" t="s">
        <v>35</v>
      </c>
      <c r="I176" s="67" t="s">
        <v>70</v>
      </c>
      <c r="J176" s="67" t="s">
        <v>70</v>
      </c>
      <c r="K176" s="67">
        <v>23.2</v>
      </c>
      <c r="L176" s="299">
        <f t="shared" si="6"/>
        <v>200</v>
      </c>
      <c r="M176" s="221">
        <v>200</v>
      </c>
      <c r="N176" s="220" t="e">
        <f>IF(OR(M176="nio",M176="eigen dienst"),0,IF(M176&gt;0,M176*K176/O176,0))*VLOOKUP(B176,'2-Kosten per locatie'!$A$14:$C$33,3,FALSE)</f>
        <v>#DIV/0!</v>
      </c>
      <c r="O176" s="300">
        <f>IF(OR(M176="nio",M176="eigen dienst"),0,IF(M176&gt;0,VLOOKUP(H176,'3-Productie normen'!A:J,VLOOKUP(M176,'3-Productie normen'!$B$34:$C$35,2,FALSE),FALSE)))</f>
        <v>0</v>
      </c>
      <c r="P176" s="301" t="str">
        <f>VLOOKUP(H176,'3-Productie normen'!A:L,12,FALSE)</f>
        <v>B</v>
      </c>
      <c r="Q176" s="301"/>
      <c r="S176" s="302">
        <f t="shared" si="7"/>
        <v>4640</v>
      </c>
    </row>
    <row r="177" spans="1:19" ht="14.15" customHeight="1">
      <c r="A177" s="71">
        <v>177</v>
      </c>
      <c r="B177" s="67" t="s">
        <v>210</v>
      </c>
      <c r="C177" s="467" t="s">
        <v>619</v>
      </c>
      <c r="D177" s="467" t="s">
        <v>720</v>
      </c>
      <c r="E177" s="67" t="s">
        <v>713</v>
      </c>
      <c r="F177" s="67" t="s">
        <v>242</v>
      </c>
      <c r="G177" s="67" t="s">
        <v>582</v>
      </c>
      <c r="H177" s="67" t="s">
        <v>630</v>
      </c>
      <c r="I177" s="67" t="s">
        <v>72</v>
      </c>
      <c r="J177" s="67" t="s">
        <v>200</v>
      </c>
      <c r="K177" s="67">
        <v>57.3</v>
      </c>
      <c r="L177" s="299">
        <f t="shared" si="6"/>
        <v>0</v>
      </c>
      <c r="M177" s="221" t="s">
        <v>629</v>
      </c>
      <c r="N177" s="220">
        <f>IF(OR(M177="nio",M177="eigen dienst"),0,IF(M177&gt;0,M177*K177/O177,0))*VLOOKUP(B177,'2-Kosten per locatie'!$A$14:$C$33,3,FALSE)</f>
        <v>0</v>
      </c>
      <c r="O177" s="300">
        <f>IF(OR(M177="nio",M177="eigen dienst"),0,IF(M177&gt;0,VLOOKUP(H177,'3-Productie normen'!A:J,VLOOKUP(M177,'3-Productie normen'!$B$34:$C$35,2,FALSE),FALSE)))</f>
        <v>0</v>
      </c>
      <c r="P177" s="301">
        <f>VLOOKUP(H177,'3-Productie normen'!A:L,12,FALSE)</f>
        <v>0</v>
      </c>
      <c r="Q177" s="301"/>
      <c r="S177" s="302">
        <f t="shared" si="7"/>
        <v>0</v>
      </c>
    </row>
    <row r="178" spans="1:19" ht="14.15" customHeight="1">
      <c r="A178" s="71">
        <v>178</v>
      </c>
      <c r="B178" s="67" t="s">
        <v>210</v>
      </c>
      <c r="C178" s="467" t="s">
        <v>619</v>
      </c>
      <c r="D178" s="467" t="s">
        <v>720</v>
      </c>
      <c r="E178" s="67" t="s">
        <v>713</v>
      </c>
      <c r="F178" s="67" t="s">
        <v>243</v>
      </c>
      <c r="G178" s="67" t="s">
        <v>513</v>
      </c>
      <c r="H178" s="67" t="s">
        <v>45</v>
      </c>
      <c r="I178" s="67" t="s">
        <v>599</v>
      </c>
      <c r="J178" s="67" t="s">
        <v>200</v>
      </c>
      <c r="K178" s="67">
        <v>84.3</v>
      </c>
      <c r="L178" s="299">
        <f t="shared" si="6"/>
        <v>200</v>
      </c>
      <c r="M178" s="221">
        <v>200</v>
      </c>
      <c r="N178" s="220" t="e">
        <f>IF(OR(M178="nio",M178="eigen dienst"),0,IF(M178&gt;0,M178*K178/O178,0))*VLOOKUP(B178,'2-Kosten per locatie'!$A$14:$C$33,3,FALSE)</f>
        <v>#DIV/0!</v>
      </c>
      <c r="O178" s="300">
        <f>IF(OR(M178="nio",M178="eigen dienst"),0,IF(M178&gt;0,VLOOKUP(H178,'3-Productie normen'!A:J,VLOOKUP(M178,'3-Productie normen'!$B$34:$C$35,2,FALSE),FALSE)))</f>
        <v>0</v>
      </c>
      <c r="P178" s="301" t="str">
        <f>VLOOKUP(H178,'3-Productie normen'!A:L,12,FALSE)</f>
        <v>L</v>
      </c>
      <c r="Q178" s="301"/>
      <c r="S178" s="302">
        <f t="shared" si="7"/>
        <v>16860</v>
      </c>
    </row>
    <row r="179" spans="1:19" ht="14.15" customHeight="1">
      <c r="A179" s="71">
        <v>179</v>
      </c>
      <c r="B179" s="67" t="s">
        <v>210</v>
      </c>
      <c r="C179" s="467" t="s">
        <v>619</v>
      </c>
      <c r="D179" s="467" t="s">
        <v>720</v>
      </c>
      <c r="E179" s="67" t="s">
        <v>713</v>
      </c>
      <c r="F179" s="67" t="s">
        <v>244</v>
      </c>
      <c r="G179" s="67" t="s">
        <v>583</v>
      </c>
      <c r="H179" s="67" t="s">
        <v>45</v>
      </c>
      <c r="I179" s="67" t="s">
        <v>599</v>
      </c>
      <c r="J179" s="67" t="s">
        <v>200</v>
      </c>
      <c r="K179" s="67">
        <v>6.7</v>
      </c>
      <c r="L179" s="299">
        <f t="shared" si="6"/>
        <v>200</v>
      </c>
      <c r="M179" s="221">
        <v>200</v>
      </c>
      <c r="N179" s="220" t="e">
        <f>IF(OR(M179="nio",M179="eigen dienst"),0,IF(M179&gt;0,M179*K179/O179,0))*VLOOKUP(B179,'2-Kosten per locatie'!$A$14:$C$33,3,FALSE)</f>
        <v>#DIV/0!</v>
      </c>
      <c r="O179" s="300">
        <f>IF(OR(M179="nio",M179="eigen dienst"),0,IF(M179&gt;0,VLOOKUP(H179,'3-Productie normen'!A:J,VLOOKUP(M179,'3-Productie normen'!$B$34:$C$35,2,FALSE),FALSE)))</f>
        <v>0</v>
      </c>
      <c r="P179" s="301" t="str">
        <f>VLOOKUP(H179,'3-Productie normen'!A:L,12,FALSE)</f>
        <v>L</v>
      </c>
      <c r="Q179" s="301"/>
      <c r="S179" s="302">
        <f t="shared" si="7"/>
        <v>1340</v>
      </c>
    </row>
    <row r="180" spans="1:19" ht="14.15" customHeight="1">
      <c r="A180" s="71">
        <v>180</v>
      </c>
      <c r="B180" s="67" t="s">
        <v>210</v>
      </c>
      <c r="C180" s="467" t="s">
        <v>619</v>
      </c>
      <c r="D180" s="467" t="s">
        <v>720</v>
      </c>
      <c r="E180" s="67" t="s">
        <v>713</v>
      </c>
      <c r="F180" s="67" t="s">
        <v>245</v>
      </c>
      <c r="G180" s="67" t="s">
        <v>518</v>
      </c>
      <c r="H180" s="67" t="s">
        <v>630</v>
      </c>
      <c r="I180" s="67" t="s">
        <v>70</v>
      </c>
      <c r="J180" s="67" t="s">
        <v>70</v>
      </c>
      <c r="K180" s="67">
        <v>8.6999999999999993</v>
      </c>
      <c r="L180" s="299">
        <f t="shared" si="6"/>
        <v>0</v>
      </c>
      <c r="M180" s="221" t="s">
        <v>629</v>
      </c>
      <c r="N180" s="220">
        <f>IF(OR(M180="nio",M180="eigen dienst"),0,IF(M180&gt;0,M180*K180/O180,0))*VLOOKUP(B180,'2-Kosten per locatie'!$A$14:$C$33,3,FALSE)</f>
        <v>0</v>
      </c>
      <c r="O180" s="300">
        <f>IF(OR(M180="nio",M180="eigen dienst"),0,IF(M180&gt;0,VLOOKUP(H180,'3-Productie normen'!A:J,VLOOKUP(M180,'3-Productie normen'!$B$34:$C$35,2,FALSE),FALSE)))</f>
        <v>0</v>
      </c>
      <c r="P180" s="301">
        <f>VLOOKUP(H180,'3-Productie normen'!A:L,12,FALSE)</f>
        <v>0</v>
      </c>
      <c r="Q180" s="301"/>
      <c r="S180" s="302">
        <f t="shared" si="7"/>
        <v>0</v>
      </c>
    </row>
    <row r="181" spans="1:19" ht="14.15" customHeight="1">
      <c r="A181" s="71">
        <v>181</v>
      </c>
      <c r="B181" s="67" t="s">
        <v>210</v>
      </c>
      <c r="C181" s="467" t="s">
        <v>619</v>
      </c>
      <c r="D181" s="467" t="s">
        <v>720</v>
      </c>
      <c r="E181" s="67" t="s">
        <v>713</v>
      </c>
      <c r="F181" s="67" t="s">
        <v>246</v>
      </c>
      <c r="G181" s="67" t="s">
        <v>47</v>
      </c>
      <c r="H181" s="67" t="s">
        <v>47</v>
      </c>
      <c r="I181" s="67" t="s">
        <v>597</v>
      </c>
      <c r="J181" s="67" t="s">
        <v>201</v>
      </c>
      <c r="K181" s="67">
        <v>8.4</v>
      </c>
      <c r="L181" s="299">
        <f t="shared" si="6"/>
        <v>200</v>
      </c>
      <c r="M181" s="221">
        <v>200</v>
      </c>
      <c r="N181" s="220" t="e">
        <f>IF(OR(M181="nio",M181="eigen dienst"),0,IF(M181&gt;0,M181*K181/O181,0))*VLOOKUP(B181,'2-Kosten per locatie'!$A$14:$C$33,3,FALSE)</f>
        <v>#DIV/0!</v>
      </c>
      <c r="O181" s="300">
        <f>IF(OR(M181="nio",M181="eigen dienst"),0,IF(M181&gt;0,VLOOKUP(H181,'3-Productie normen'!A:J,VLOOKUP(M181,'3-Productie normen'!$B$34:$C$35,2,FALSE),FALSE)))</f>
        <v>0</v>
      </c>
      <c r="P181" s="301" t="str">
        <f>VLOOKUP(H181,'3-Productie normen'!A:L,12,FALSE)</f>
        <v>V</v>
      </c>
      <c r="Q181" s="301"/>
      <c r="S181" s="302">
        <f t="shared" si="7"/>
        <v>1680</v>
      </c>
    </row>
    <row r="182" spans="1:19" ht="14.15" customHeight="1">
      <c r="A182" s="71">
        <v>182</v>
      </c>
      <c r="B182" s="67" t="s">
        <v>210</v>
      </c>
      <c r="C182" s="467" t="s">
        <v>619</v>
      </c>
      <c r="D182" s="467" t="s">
        <v>720</v>
      </c>
      <c r="E182" s="67" t="s">
        <v>713</v>
      </c>
      <c r="F182" s="67" t="s">
        <v>247</v>
      </c>
      <c r="G182" s="67" t="s">
        <v>518</v>
      </c>
      <c r="H182" s="67" t="s">
        <v>630</v>
      </c>
      <c r="I182" s="67" t="s">
        <v>70</v>
      </c>
      <c r="J182" s="67" t="s">
        <v>70</v>
      </c>
      <c r="K182" s="67">
        <v>8.3000000000000007</v>
      </c>
      <c r="L182" s="299">
        <f t="shared" si="6"/>
        <v>0</v>
      </c>
      <c r="M182" s="221" t="s">
        <v>629</v>
      </c>
      <c r="N182" s="220">
        <f>IF(OR(M182="nio",M182="eigen dienst"),0,IF(M182&gt;0,M182*K182/O182,0))*VLOOKUP(B182,'2-Kosten per locatie'!$A$14:$C$33,3,FALSE)</f>
        <v>0</v>
      </c>
      <c r="O182" s="300">
        <f>IF(OR(M182="nio",M182="eigen dienst"),0,IF(M182&gt;0,VLOOKUP(H182,'3-Productie normen'!A:J,VLOOKUP(M182,'3-Productie normen'!$B$34:$C$35,2,FALSE),FALSE)))</f>
        <v>0</v>
      </c>
      <c r="P182" s="301">
        <f>VLOOKUP(H182,'3-Productie normen'!A:L,12,FALSE)</f>
        <v>0</v>
      </c>
      <c r="Q182" s="301"/>
      <c r="S182" s="302">
        <f t="shared" si="7"/>
        <v>0</v>
      </c>
    </row>
    <row r="183" spans="1:19" ht="14.15" customHeight="1">
      <c r="A183" s="71">
        <v>183</v>
      </c>
      <c r="B183" s="67" t="s">
        <v>210</v>
      </c>
      <c r="C183" s="467" t="s">
        <v>619</v>
      </c>
      <c r="D183" s="467" t="s">
        <v>720</v>
      </c>
      <c r="E183" s="67" t="s">
        <v>713</v>
      </c>
      <c r="F183" s="67" t="s">
        <v>222</v>
      </c>
      <c r="G183" s="67" t="s">
        <v>515</v>
      </c>
      <c r="H183" s="67" t="s">
        <v>609</v>
      </c>
      <c r="I183" s="67" t="s">
        <v>70</v>
      </c>
      <c r="J183" s="67" t="s">
        <v>70</v>
      </c>
      <c r="K183" s="67">
        <v>57.3</v>
      </c>
      <c r="L183" s="299">
        <f t="shared" si="6"/>
        <v>200</v>
      </c>
      <c r="M183" s="221">
        <v>200</v>
      </c>
      <c r="N183" s="220" t="e">
        <f>IF(OR(M183="nio",M183="eigen dienst"),0,IF(M183&gt;0,M183*K183/O183,0))*VLOOKUP(B183,'2-Kosten per locatie'!$A$14:$C$33,3,FALSE)</f>
        <v>#DIV/0!</v>
      </c>
      <c r="O183" s="300">
        <f>IF(OR(M183="nio",M183="eigen dienst"),0,IF(M183&gt;0,VLOOKUP(H183,'3-Productie normen'!A:J,VLOOKUP(M183,'3-Productie normen'!$B$34:$C$35,2,FALSE),FALSE)))</f>
        <v>0</v>
      </c>
      <c r="P183" s="301" t="str">
        <f>VLOOKUP(H183,'3-Productie normen'!A:L,12,FALSE)</f>
        <v>L</v>
      </c>
      <c r="Q183" s="301"/>
      <c r="S183" s="302">
        <f t="shared" si="7"/>
        <v>11460</v>
      </c>
    </row>
    <row r="184" spans="1:19" ht="14.15" customHeight="1">
      <c r="A184" s="71">
        <v>184</v>
      </c>
      <c r="B184" s="67" t="s">
        <v>210</v>
      </c>
      <c r="C184" s="467" t="s">
        <v>619</v>
      </c>
      <c r="D184" s="467" t="s">
        <v>720</v>
      </c>
      <c r="E184" s="67" t="s">
        <v>713</v>
      </c>
      <c r="F184" s="67" t="s">
        <v>248</v>
      </c>
      <c r="G184" s="67" t="s">
        <v>515</v>
      </c>
      <c r="H184" s="67" t="s">
        <v>609</v>
      </c>
      <c r="I184" s="67" t="s">
        <v>70</v>
      </c>
      <c r="J184" s="67" t="s">
        <v>70</v>
      </c>
      <c r="K184" s="67">
        <v>61.1</v>
      </c>
      <c r="L184" s="299">
        <f t="shared" si="6"/>
        <v>200</v>
      </c>
      <c r="M184" s="221">
        <v>200</v>
      </c>
      <c r="N184" s="220" t="e">
        <f>IF(OR(M184="nio",M184="eigen dienst"),0,IF(M184&gt;0,M184*K184/O184,0))*VLOOKUP(B184,'2-Kosten per locatie'!$A$14:$C$33,3,FALSE)</f>
        <v>#DIV/0!</v>
      </c>
      <c r="O184" s="300">
        <f>IF(OR(M184="nio",M184="eigen dienst"),0,IF(M184&gt;0,VLOOKUP(H184,'3-Productie normen'!A:J,VLOOKUP(M184,'3-Productie normen'!$B$34:$C$35,2,FALSE),FALSE)))</f>
        <v>0</v>
      </c>
      <c r="P184" s="301" t="str">
        <f>VLOOKUP(H184,'3-Productie normen'!A:L,12,FALSE)</f>
        <v>L</v>
      </c>
      <c r="Q184" s="301"/>
      <c r="S184" s="302">
        <f t="shared" si="7"/>
        <v>12220</v>
      </c>
    </row>
    <row r="185" spans="1:19" ht="14.15" customHeight="1">
      <c r="A185" s="71">
        <v>185</v>
      </c>
      <c r="B185" s="67" t="s">
        <v>210</v>
      </c>
      <c r="C185" s="467" t="s">
        <v>619</v>
      </c>
      <c r="D185" s="467" t="s">
        <v>720</v>
      </c>
      <c r="E185" s="67" t="s">
        <v>713</v>
      </c>
      <c r="F185" s="67" t="s">
        <v>249</v>
      </c>
      <c r="G185" s="67" t="s">
        <v>515</v>
      </c>
      <c r="H185" s="67" t="s">
        <v>609</v>
      </c>
      <c r="I185" s="67" t="s">
        <v>70</v>
      </c>
      <c r="J185" s="67" t="s">
        <v>70</v>
      </c>
      <c r="K185" s="67">
        <v>57.4</v>
      </c>
      <c r="L185" s="299">
        <f t="shared" si="6"/>
        <v>200</v>
      </c>
      <c r="M185" s="221">
        <v>200</v>
      </c>
      <c r="N185" s="220" t="e">
        <f>IF(OR(M185="nio",M185="eigen dienst"),0,IF(M185&gt;0,M185*K185/O185,0))*VLOOKUP(B185,'2-Kosten per locatie'!$A$14:$C$33,3,FALSE)</f>
        <v>#DIV/0!</v>
      </c>
      <c r="O185" s="300">
        <f>IF(OR(M185="nio",M185="eigen dienst"),0,IF(M185&gt;0,VLOOKUP(H185,'3-Productie normen'!A:J,VLOOKUP(M185,'3-Productie normen'!$B$34:$C$35,2,FALSE),FALSE)))</f>
        <v>0</v>
      </c>
      <c r="P185" s="301" t="str">
        <f>VLOOKUP(H185,'3-Productie normen'!A:L,12,FALSE)</f>
        <v>L</v>
      </c>
      <c r="Q185" s="301"/>
      <c r="S185" s="302">
        <f t="shared" si="7"/>
        <v>11480</v>
      </c>
    </row>
    <row r="186" spans="1:19" ht="14.15" customHeight="1">
      <c r="A186" s="71">
        <v>186</v>
      </c>
      <c r="B186" s="67" t="s">
        <v>210</v>
      </c>
      <c r="C186" s="467" t="s">
        <v>619</v>
      </c>
      <c r="D186" s="467" t="s">
        <v>720</v>
      </c>
      <c r="E186" s="67" t="s">
        <v>713</v>
      </c>
      <c r="F186" s="67" t="s">
        <v>250</v>
      </c>
      <c r="G186" s="67" t="s">
        <v>515</v>
      </c>
      <c r="H186" s="67" t="s">
        <v>609</v>
      </c>
      <c r="I186" s="67" t="s">
        <v>70</v>
      </c>
      <c r="J186" s="67" t="s">
        <v>70</v>
      </c>
      <c r="K186" s="67">
        <v>61.1</v>
      </c>
      <c r="L186" s="299">
        <f t="shared" si="6"/>
        <v>200</v>
      </c>
      <c r="M186" s="221">
        <v>200</v>
      </c>
      <c r="N186" s="220" t="e">
        <f>IF(OR(M186="nio",M186="eigen dienst"),0,IF(M186&gt;0,M186*K186/O186,0))*VLOOKUP(B186,'2-Kosten per locatie'!$A$14:$C$33,3,FALSE)</f>
        <v>#DIV/0!</v>
      </c>
      <c r="O186" s="300">
        <f>IF(OR(M186="nio",M186="eigen dienst"),0,IF(M186&gt;0,VLOOKUP(H186,'3-Productie normen'!A:J,VLOOKUP(M186,'3-Productie normen'!$B$34:$C$35,2,FALSE),FALSE)))</f>
        <v>0</v>
      </c>
      <c r="P186" s="301" t="str">
        <f>VLOOKUP(H186,'3-Productie normen'!A:L,12,FALSE)</f>
        <v>L</v>
      </c>
      <c r="Q186" s="301"/>
      <c r="S186" s="302">
        <f t="shared" si="7"/>
        <v>12220</v>
      </c>
    </row>
    <row r="187" spans="1:19" ht="14.15" customHeight="1">
      <c r="A187" s="71">
        <v>187</v>
      </c>
      <c r="B187" s="67" t="s">
        <v>210</v>
      </c>
      <c r="C187" s="467" t="s">
        <v>619</v>
      </c>
      <c r="D187" s="467" t="s">
        <v>720</v>
      </c>
      <c r="E187" s="67" t="s">
        <v>713</v>
      </c>
      <c r="F187" s="67" t="s">
        <v>251</v>
      </c>
      <c r="G187" s="67" t="s">
        <v>515</v>
      </c>
      <c r="H187" s="67" t="s">
        <v>609</v>
      </c>
      <c r="I187" s="67" t="s">
        <v>70</v>
      </c>
      <c r="J187" s="67" t="s">
        <v>70</v>
      </c>
      <c r="K187" s="67">
        <v>57.4</v>
      </c>
      <c r="L187" s="299">
        <f t="shared" si="6"/>
        <v>200</v>
      </c>
      <c r="M187" s="221">
        <v>200</v>
      </c>
      <c r="N187" s="220" t="e">
        <f>IF(OR(M187="nio",M187="eigen dienst"),0,IF(M187&gt;0,M187*K187/O187,0))*VLOOKUP(B187,'2-Kosten per locatie'!$A$14:$C$33,3,FALSE)</f>
        <v>#DIV/0!</v>
      </c>
      <c r="O187" s="300">
        <f>IF(OR(M187="nio",M187="eigen dienst"),0,IF(M187&gt;0,VLOOKUP(H187,'3-Productie normen'!A:J,VLOOKUP(M187,'3-Productie normen'!$B$34:$C$35,2,FALSE),FALSE)))</f>
        <v>0</v>
      </c>
      <c r="P187" s="301" t="str">
        <f>VLOOKUP(H187,'3-Productie normen'!A:L,12,FALSE)</f>
        <v>L</v>
      </c>
      <c r="Q187" s="301"/>
      <c r="S187" s="302">
        <f t="shared" si="7"/>
        <v>11480</v>
      </c>
    </row>
    <row r="188" spans="1:19" ht="14.15" customHeight="1">
      <c r="A188" s="71">
        <v>188</v>
      </c>
      <c r="B188" s="67" t="s">
        <v>210</v>
      </c>
      <c r="C188" s="467" t="s">
        <v>619</v>
      </c>
      <c r="D188" s="467" t="s">
        <v>720</v>
      </c>
      <c r="E188" s="67" t="s">
        <v>713</v>
      </c>
      <c r="F188" s="67" t="s">
        <v>252</v>
      </c>
      <c r="G188" s="67" t="s">
        <v>47</v>
      </c>
      <c r="H188" s="67" t="s">
        <v>47</v>
      </c>
      <c r="I188" s="67" t="s">
        <v>597</v>
      </c>
      <c r="J188" s="67" t="s">
        <v>201</v>
      </c>
      <c r="K188" s="67">
        <v>11</v>
      </c>
      <c r="L188" s="299">
        <f t="shared" si="6"/>
        <v>200</v>
      </c>
      <c r="M188" s="221">
        <v>200</v>
      </c>
      <c r="N188" s="220" t="e">
        <f>IF(OR(M188="nio",M188="eigen dienst"),0,IF(M188&gt;0,M188*K188/O188,0))*VLOOKUP(B188,'2-Kosten per locatie'!$A$14:$C$33,3,FALSE)</f>
        <v>#DIV/0!</v>
      </c>
      <c r="O188" s="300">
        <f>IF(OR(M188="nio",M188="eigen dienst"),0,IF(M188&gt;0,VLOOKUP(H188,'3-Productie normen'!A:J,VLOOKUP(M188,'3-Productie normen'!$B$34:$C$35,2,FALSE),FALSE)))</f>
        <v>0</v>
      </c>
      <c r="P188" s="301" t="str">
        <f>VLOOKUP(H188,'3-Productie normen'!A:L,12,FALSE)</f>
        <v>V</v>
      </c>
      <c r="Q188" s="301"/>
      <c r="S188" s="302">
        <f t="shared" si="7"/>
        <v>2200</v>
      </c>
    </row>
    <row r="189" spans="1:19" ht="14.15" customHeight="1">
      <c r="A189" s="71">
        <v>189</v>
      </c>
      <c r="B189" s="67" t="s">
        <v>210</v>
      </c>
      <c r="C189" s="467" t="s">
        <v>619</v>
      </c>
      <c r="D189" s="467" t="s">
        <v>720</v>
      </c>
      <c r="E189" s="67" t="s">
        <v>713</v>
      </c>
      <c r="F189" s="67" t="s">
        <v>253</v>
      </c>
      <c r="G189" s="67" t="s">
        <v>512</v>
      </c>
      <c r="H189" s="67" t="s">
        <v>39</v>
      </c>
      <c r="I189" s="67" t="s">
        <v>70</v>
      </c>
      <c r="J189" s="67" t="s">
        <v>70</v>
      </c>
      <c r="K189" s="67">
        <v>144.30000000000001</v>
      </c>
      <c r="L189" s="299">
        <f t="shared" si="6"/>
        <v>200</v>
      </c>
      <c r="M189" s="221">
        <v>200</v>
      </c>
      <c r="N189" s="220" t="e">
        <f>IF(OR(M189="nio",M189="eigen dienst"),0,IF(M189&gt;0,M189*K189/O189,0))*VLOOKUP(B189,'2-Kosten per locatie'!$A$14:$C$33,3,FALSE)</f>
        <v>#DIV/0!</v>
      </c>
      <c r="O189" s="300">
        <f>IF(OR(M189="nio",M189="eigen dienst"),0,IF(M189&gt;0,VLOOKUP(H189,'3-Productie normen'!A:J,VLOOKUP(M189,'3-Productie normen'!$B$34:$C$35,2,FALSE),FALSE)))</f>
        <v>0</v>
      </c>
      <c r="P189" s="301" t="str">
        <f>VLOOKUP(H189,'3-Productie normen'!A:L,12,FALSE)</f>
        <v>V</v>
      </c>
      <c r="Q189" s="301"/>
      <c r="S189" s="302">
        <f t="shared" si="7"/>
        <v>28860.000000000004</v>
      </c>
    </row>
    <row r="190" spans="1:19" ht="14.15" customHeight="1">
      <c r="A190" s="71">
        <v>190</v>
      </c>
      <c r="B190" s="67" t="s">
        <v>210</v>
      </c>
      <c r="C190" s="467" t="s">
        <v>619</v>
      </c>
      <c r="D190" s="467" t="s">
        <v>720</v>
      </c>
      <c r="E190" s="67" t="s">
        <v>713</v>
      </c>
      <c r="F190" s="67" t="s">
        <v>254</v>
      </c>
      <c r="G190" s="67" t="s">
        <v>514</v>
      </c>
      <c r="H190" s="67" t="s">
        <v>37</v>
      </c>
      <c r="I190" s="67" t="s">
        <v>601</v>
      </c>
      <c r="J190" s="67" t="s">
        <v>179</v>
      </c>
      <c r="K190" s="67">
        <v>9.4</v>
      </c>
      <c r="L190" s="299">
        <f t="shared" si="6"/>
        <v>200</v>
      </c>
      <c r="M190" s="221">
        <v>200</v>
      </c>
      <c r="N190" s="220" t="e">
        <f>IF(OR(M190="nio",M190="eigen dienst"),0,IF(M190&gt;0,M190*K190/O190,0))*VLOOKUP(B190,'2-Kosten per locatie'!$A$14:$C$33,3,FALSE)</f>
        <v>#DIV/0!</v>
      </c>
      <c r="O190" s="300">
        <f>IF(OR(M190="nio",M190="eigen dienst"),0,IF(M190&gt;0,VLOOKUP(H190,'3-Productie normen'!A:J,VLOOKUP(M190,'3-Productie normen'!$B$34:$C$35,2,FALSE),FALSE)))</f>
        <v>0</v>
      </c>
      <c r="P190" s="301" t="str">
        <f>VLOOKUP(H190,'3-Productie normen'!A:L,12,FALSE)</f>
        <v>S</v>
      </c>
      <c r="Q190" s="301"/>
      <c r="S190" s="302">
        <f t="shared" si="7"/>
        <v>1880</v>
      </c>
    </row>
    <row r="191" spans="1:19" ht="14.15" customHeight="1">
      <c r="A191" s="71">
        <v>191</v>
      </c>
      <c r="B191" s="67" t="s">
        <v>210</v>
      </c>
      <c r="C191" s="467" t="s">
        <v>619</v>
      </c>
      <c r="D191" s="467" t="s">
        <v>720</v>
      </c>
      <c r="E191" s="67" t="s">
        <v>713</v>
      </c>
      <c r="F191" s="67" t="s">
        <v>255</v>
      </c>
      <c r="G191" s="67" t="s">
        <v>514</v>
      </c>
      <c r="H191" s="67" t="s">
        <v>37</v>
      </c>
      <c r="I191" s="67" t="s">
        <v>601</v>
      </c>
      <c r="J191" s="67" t="s">
        <v>179</v>
      </c>
      <c r="K191" s="67">
        <v>9.4</v>
      </c>
      <c r="L191" s="299">
        <f t="shared" si="6"/>
        <v>200</v>
      </c>
      <c r="M191" s="221">
        <v>200</v>
      </c>
      <c r="N191" s="220" t="e">
        <f>IF(OR(M191="nio",M191="eigen dienst"),0,IF(M191&gt;0,M191*K191/O191,0))*VLOOKUP(B191,'2-Kosten per locatie'!$A$14:$C$33,3,FALSE)</f>
        <v>#DIV/0!</v>
      </c>
      <c r="O191" s="300">
        <f>IF(OR(M191="nio",M191="eigen dienst"),0,IF(M191&gt;0,VLOOKUP(H191,'3-Productie normen'!A:J,VLOOKUP(M191,'3-Productie normen'!$B$34:$C$35,2,FALSE),FALSE)))</f>
        <v>0</v>
      </c>
      <c r="P191" s="301" t="str">
        <f>VLOOKUP(H191,'3-Productie normen'!A:L,12,FALSE)</f>
        <v>S</v>
      </c>
      <c r="Q191" s="301"/>
      <c r="S191" s="302">
        <f t="shared" si="7"/>
        <v>1880</v>
      </c>
    </row>
    <row r="192" spans="1:19" ht="14.15" customHeight="1">
      <c r="A192" s="71">
        <v>192</v>
      </c>
      <c r="B192" s="67" t="s">
        <v>210</v>
      </c>
      <c r="C192" s="467" t="s">
        <v>619</v>
      </c>
      <c r="D192" s="467" t="s">
        <v>720</v>
      </c>
      <c r="E192" s="67" t="s">
        <v>713</v>
      </c>
      <c r="F192" s="67" t="s">
        <v>256</v>
      </c>
      <c r="G192" s="67" t="s">
        <v>514</v>
      </c>
      <c r="H192" s="67" t="s">
        <v>37</v>
      </c>
      <c r="I192" s="67" t="s">
        <v>601</v>
      </c>
      <c r="J192" s="67" t="s">
        <v>179</v>
      </c>
      <c r="K192" s="67">
        <v>1.5</v>
      </c>
      <c r="L192" s="299">
        <f t="shared" si="6"/>
        <v>200</v>
      </c>
      <c r="M192" s="221">
        <v>200</v>
      </c>
      <c r="N192" s="220" t="e">
        <f>IF(OR(M192="nio",M192="eigen dienst"),0,IF(M192&gt;0,M192*K192/O192,0))*VLOOKUP(B192,'2-Kosten per locatie'!$A$14:$C$33,3,FALSE)</f>
        <v>#DIV/0!</v>
      </c>
      <c r="O192" s="300">
        <f>IF(OR(M192="nio",M192="eigen dienst"),0,IF(M192&gt;0,VLOOKUP(H192,'3-Productie normen'!A:J,VLOOKUP(M192,'3-Productie normen'!$B$34:$C$35,2,FALSE),FALSE)))</f>
        <v>0</v>
      </c>
      <c r="P192" s="301" t="str">
        <f>VLOOKUP(H192,'3-Productie normen'!A:L,12,FALSE)</f>
        <v>S</v>
      </c>
      <c r="Q192" s="301"/>
      <c r="S192" s="302">
        <f t="shared" si="7"/>
        <v>300</v>
      </c>
    </row>
    <row r="193" spans="1:19" ht="14.15" customHeight="1">
      <c r="A193" s="71">
        <v>193</v>
      </c>
      <c r="B193" s="67" t="s">
        <v>210</v>
      </c>
      <c r="C193" s="467" t="s">
        <v>619</v>
      </c>
      <c r="D193" s="467" t="s">
        <v>720</v>
      </c>
      <c r="E193" s="67" t="s">
        <v>713</v>
      </c>
      <c r="F193" s="67" t="s">
        <v>500</v>
      </c>
      <c r="G193" s="67" t="s">
        <v>536</v>
      </c>
      <c r="H193" s="67" t="s">
        <v>39</v>
      </c>
      <c r="I193" s="67" t="s">
        <v>601</v>
      </c>
      <c r="J193" s="67" t="s">
        <v>200</v>
      </c>
      <c r="K193" s="67">
        <v>2.9</v>
      </c>
      <c r="L193" s="299">
        <f t="shared" si="6"/>
        <v>200</v>
      </c>
      <c r="M193" s="221">
        <v>200</v>
      </c>
      <c r="N193" s="220" t="e">
        <f>IF(OR(M193="nio",M193="eigen dienst"),0,IF(M193&gt;0,M193*K193/O193,0))*VLOOKUP(B193,'2-Kosten per locatie'!$A$14:$C$33,3,FALSE)</f>
        <v>#DIV/0!</v>
      </c>
      <c r="O193" s="300">
        <f>IF(OR(M193="nio",M193="eigen dienst"),0,IF(M193&gt;0,VLOOKUP(H193,'3-Productie normen'!A:J,VLOOKUP(M193,'3-Productie normen'!$B$34:$C$35,2,FALSE),FALSE)))</f>
        <v>0</v>
      </c>
      <c r="P193" s="301" t="str">
        <f>VLOOKUP(H193,'3-Productie normen'!A:L,12,FALSE)</f>
        <v>V</v>
      </c>
      <c r="Q193" s="301"/>
      <c r="S193" s="302">
        <f t="shared" si="7"/>
        <v>580</v>
      </c>
    </row>
    <row r="194" spans="1:19" ht="14.15" customHeight="1">
      <c r="A194" s="71">
        <v>194</v>
      </c>
      <c r="B194" s="67" t="s">
        <v>210</v>
      </c>
      <c r="C194" s="467" t="s">
        <v>619</v>
      </c>
      <c r="D194" s="467" t="s">
        <v>720</v>
      </c>
      <c r="E194" s="67" t="s">
        <v>713</v>
      </c>
      <c r="F194" s="67" t="s">
        <v>257</v>
      </c>
      <c r="G194" s="67" t="s">
        <v>515</v>
      </c>
      <c r="H194" s="67" t="s">
        <v>609</v>
      </c>
      <c r="I194" s="67" t="s">
        <v>70</v>
      </c>
      <c r="J194" s="67" t="s">
        <v>70</v>
      </c>
      <c r="K194" s="67">
        <v>57.3</v>
      </c>
      <c r="L194" s="299">
        <f t="shared" si="6"/>
        <v>200</v>
      </c>
      <c r="M194" s="221">
        <v>200</v>
      </c>
      <c r="N194" s="220" t="e">
        <f>IF(OR(M194="nio",M194="eigen dienst"),0,IF(M194&gt;0,M194*K194/O194,0))*VLOOKUP(B194,'2-Kosten per locatie'!$A$14:$C$33,3,FALSE)</f>
        <v>#DIV/0!</v>
      </c>
      <c r="O194" s="300">
        <f>IF(OR(M194="nio",M194="eigen dienst"),0,IF(M194&gt;0,VLOOKUP(H194,'3-Productie normen'!A:J,VLOOKUP(M194,'3-Productie normen'!$B$34:$C$35,2,FALSE),FALSE)))</f>
        <v>0</v>
      </c>
      <c r="P194" s="301" t="str">
        <f>VLOOKUP(H194,'3-Productie normen'!A:L,12,FALSE)</f>
        <v>L</v>
      </c>
      <c r="Q194" s="301"/>
      <c r="S194" s="302">
        <f t="shared" si="7"/>
        <v>11460</v>
      </c>
    </row>
    <row r="195" spans="1:19" ht="14.15" customHeight="1">
      <c r="A195" s="71">
        <v>195</v>
      </c>
      <c r="B195" s="67" t="s">
        <v>210</v>
      </c>
      <c r="C195" s="467" t="s">
        <v>619</v>
      </c>
      <c r="D195" s="467" t="s">
        <v>720</v>
      </c>
      <c r="E195" s="67" t="s">
        <v>713</v>
      </c>
      <c r="F195" s="67" t="s">
        <v>223</v>
      </c>
      <c r="G195" s="67" t="s">
        <v>515</v>
      </c>
      <c r="H195" s="67" t="s">
        <v>630</v>
      </c>
      <c r="I195" s="67" t="s">
        <v>70</v>
      </c>
      <c r="J195" s="67" t="s">
        <v>70</v>
      </c>
      <c r="K195" s="67">
        <v>54.3</v>
      </c>
      <c r="L195" s="299">
        <f t="shared" si="6"/>
        <v>0</v>
      </c>
      <c r="M195" s="221" t="s">
        <v>629</v>
      </c>
      <c r="N195" s="220">
        <f>IF(OR(M195="nio",M195="eigen dienst"),0,IF(M195&gt;0,M195*K195/O195,0))*VLOOKUP(B195,'2-Kosten per locatie'!$A$14:$C$33,3,FALSE)</f>
        <v>0</v>
      </c>
      <c r="O195" s="300">
        <f>IF(OR(M195="nio",M195="eigen dienst"),0,IF(M195&gt;0,VLOOKUP(H195,'3-Productie normen'!A:J,VLOOKUP(M195,'3-Productie normen'!$B$34:$C$35,2,FALSE),FALSE)))</f>
        <v>0</v>
      </c>
      <c r="P195" s="301">
        <f>VLOOKUP(H195,'3-Productie normen'!A:L,12,FALSE)</f>
        <v>0</v>
      </c>
      <c r="Q195" s="301"/>
      <c r="S195" s="302">
        <f t="shared" si="7"/>
        <v>0</v>
      </c>
    </row>
    <row r="196" spans="1:19" ht="14.15" customHeight="1">
      <c r="A196" s="71">
        <v>196</v>
      </c>
      <c r="B196" s="67" t="s">
        <v>210</v>
      </c>
      <c r="C196" s="467" t="s">
        <v>619</v>
      </c>
      <c r="D196" s="467" t="s">
        <v>720</v>
      </c>
      <c r="E196" s="67" t="s">
        <v>713</v>
      </c>
      <c r="F196" s="67" t="s">
        <v>258</v>
      </c>
      <c r="G196" s="67" t="s">
        <v>522</v>
      </c>
      <c r="H196" s="67" t="s">
        <v>630</v>
      </c>
      <c r="I196" s="67" t="s">
        <v>598</v>
      </c>
      <c r="J196" s="67" t="s">
        <v>200</v>
      </c>
      <c r="K196" s="67">
        <v>6.5</v>
      </c>
      <c r="L196" s="299">
        <f t="shared" si="6"/>
        <v>0</v>
      </c>
      <c r="M196" s="221" t="s">
        <v>629</v>
      </c>
      <c r="N196" s="220">
        <f>IF(OR(M196="nio",M196="eigen dienst"),0,IF(M196&gt;0,M196*K196/O196,0))*VLOOKUP(B196,'2-Kosten per locatie'!$A$14:$C$33,3,FALSE)</f>
        <v>0</v>
      </c>
      <c r="O196" s="300">
        <f>IF(OR(M196="nio",M196="eigen dienst"),0,IF(M196&gt;0,VLOOKUP(H196,'3-Productie normen'!A:J,VLOOKUP(M196,'3-Productie normen'!$B$34:$C$35,2,FALSE),FALSE)))</f>
        <v>0</v>
      </c>
      <c r="P196" s="301">
        <f>VLOOKUP(H196,'3-Productie normen'!A:L,12,FALSE)</f>
        <v>0</v>
      </c>
      <c r="Q196" s="301"/>
      <c r="S196" s="302">
        <f t="shared" si="7"/>
        <v>0</v>
      </c>
    </row>
    <row r="197" spans="1:19" ht="14.15" customHeight="1">
      <c r="A197" s="71">
        <v>197</v>
      </c>
      <c r="B197" s="67" t="s">
        <v>210</v>
      </c>
      <c r="C197" s="467" t="s">
        <v>619</v>
      </c>
      <c r="D197" s="467" t="s">
        <v>720</v>
      </c>
      <c r="E197" s="67" t="s">
        <v>713</v>
      </c>
      <c r="F197" s="67" t="s">
        <v>259</v>
      </c>
      <c r="G197" s="67" t="s">
        <v>532</v>
      </c>
      <c r="H197" s="67" t="s">
        <v>630</v>
      </c>
      <c r="I197" s="67" t="s">
        <v>72</v>
      </c>
      <c r="J197" s="67" t="s">
        <v>200</v>
      </c>
      <c r="K197" s="67">
        <v>13</v>
      </c>
      <c r="L197" s="299">
        <f t="shared" si="6"/>
        <v>0</v>
      </c>
      <c r="M197" s="221" t="s">
        <v>629</v>
      </c>
      <c r="N197" s="220">
        <f>IF(OR(M197="nio",M197="eigen dienst"),0,IF(M197&gt;0,M197*K197/O197,0))*VLOOKUP(B197,'2-Kosten per locatie'!$A$14:$C$33,3,FALSE)</f>
        <v>0</v>
      </c>
      <c r="O197" s="300">
        <f>IF(OR(M197="nio",M197="eigen dienst"),0,IF(M197&gt;0,VLOOKUP(H197,'3-Productie normen'!A:J,VLOOKUP(M197,'3-Productie normen'!$B$34:$C$35,2,FALSE),FALSE)))</f>
        <v>0</v>
      </c>
      <c r="P197" s="301">
        <f>VLOOKUP(H197,'3-Productie normen'!A:L,12,FALSE)</f>
        <v>0</v>
      </c>
      <c r="Q197" s="301"/>
      <c r="S197" s="302">
        <f t="shared" si="7"/>
        <v>0</v>
      </c>
    </row>
    <row r="198" spans="1:19" ht="14.15" customHeight="1">
      <c r="A198" s="71">
        <v>198</v>
      </c>
      <c r="B198" s="67" t="s">
        <v>210</v>
      </c>
      <c r="C198" s="467" t="s">
        <v>619</v>
      </c>
      <c r="D198" s="467" t="s">
        <v>720</v>
      </c>
      <c r="E198" s="67" t="s">
        <v>713</v>
      </c>
      <c r="F198" s="67" t="s">
        <v>260</v>
      </c>
      <c r="G198" s="67" t="s">
        <v>523</v>
      </c>
      <c r="H198" s="67" t="s">
        <v>630</v>
      </c>
      <c r="I198" s="67" t="s">
        <v>72</v>
      </c>
      <c r="J198" s="67" t="s">
        <v>200</v>
      </c>
      <c r="K198" s="67">
        <v>11.3</v>
      </c>
      <c r="L198" s="299">
        <f t="shared" si="6"/>
        <v>0</v>
      </c>
      <c r="M198" s="221" t="s">
        <v>629</v>
      </c>
      <c r="N198" s="220">
        <f>IF(OR(M198="nio",M198="eigen dienst"),0,IF(M198&gt;0,M198*K198/O198,0))*VLOOKUP(B198,'2-Kosten per locatie'!$A$14:$C$33,3,FALSE)</f>
        <v>0</v>
      </c>
      <c r="O198" s="300">
        <f>IF(OR(M198="nio",M198="eigen dienst"),0,IF(M198&gt;0,VLOOKUP(H198,'3-Productie normen'!A:J,VLOOKUP(M198,'3-Productie normen'!$B$34:$C$35,2,FALSE),FALSE)))</f>
        <v>0</v>
      </c>
      <c r="P198" s="301">
        <f>VLOOKUP(H198,'3-Productie normen'!A:L,12,FALSE)</f>
        <v>0</v>
      </c>
      <c r="Q198" s="301"/>
      <c r="S198" s="302">
        <f t="shared" si="7"/>
        <v>0</v>
      </c>
    </row>
    <row r="199" spans="1:19" ht="14.15" customHeight="1">
      <c r="A199" s="71">
        <v>199</v>
      </c>
      <c r="B199" s="67" t="s">
        <v>210</v>
      </c>
      <c r="C199" s="467" t="s">
        <v>619</v>
      </c>
      <c r="D199" s="467" t="s">
        <v>720</v>
      </c>
      <c r="E199" s="67" t="s">
        <v>713</v>
      </c>
      <c r="F199" s="67" t="s">
        <v>261</v>
      </c>
      <c r="G199" s="67" t="s">
        <v>516</v>
      </c>
      <c r="H199" s="67" t="s">
        <v>35</v>
      </c>
      <c r="I199" s="67" t="s">
        <v>70</v>
      </c>
      <c r="J199" s="67" t="s">
        <v>70</v>
      </c>
      <c r="K199" s="67">
        <v>17.3</v>
      </c>
      <c r="L199" s="299">
        <f t="shared" si="6"/>
        <v>200</v>
      </c>
      <c r="M199" s="221">
        <v>200</v>
      </c>
      <c r="N199" s="220" t="e">
        <f>IF(OR(M199="nio",M199="eigen dienst"),0,IF(M199&gt;0,M199*K199/O199,0))*VLOOKUP(B199,'2-Kosten per locatie'!$A$14:$C$33,3,FALSE)</f>
        <v>#DIV/0!</v>
      </c>
      <c r="O199" s="300">
        <f>IF(OR(M199="nio",M199="eigen dienst"),0,IF(M199&gt;0,VLOOKUP(H199,'3-Productie normen'!A:J,VLOOKUP(M199,'3-Productie normen'!$B$34:$C$35,2,FALSE),FALSE)))</f>
        <v>0</v>
      </c>
      <c r="P199" s="301" t="str">
        <f>VLOOKUP(H199,'3-Productie normen'!A:L,12,FALSE)</f>
        <v>B</v>
      </c>
      <c r="Q199" s="301"/>
      <c r="S199" s="302">
        <f t="shared" si="7"/>
        <v>3460</v>
      </c>
    </row>
    <row r="200" spans="1:19" ht="14.15" customHeight="1">
      <c r="A200" s="71">
        <v>200</v>
      </c>
      <c r="B200" s="67" t="s">
        <v>210</v>
      </c>
      <c r="C200" s="467" t="s">
        <v>619</v>
      </c>
      <c r="D200" s="467" t="s">
        <v>720</v>
      </c>
      <c r="E200" s="67" t="s">
        <v>713</v>
      </c>
      <c r="F200" s="67" t="s">
        <v>262</v>
      </c>
      <c r="G200" s="67" t="s">
        <v>518</v>
      </c>
      <c r="H200" s="67" t="s">
        <v>630</v>
      </c>
      <c r="I200" s="67" t="s">
        <v>70</v>
      </c>
      <c r="J200" s="67" t="s">
        <v>70</v>
      </c>
      <c r="K200" s="67">
        <v>9.8000000000000007</v>
      </c>
      <c r="L200" s="299">
        <f t="shared" si="6"/>
        <v>0</v>
      </c>
      <c r="M200" s="221" t="s">
        <v>629</v>
      </c>
      <c r="N200" s="220">
        <f>IF(OR(M200="nio",M200="eigen dienst"),0,IF(M200&gt;0,M200*K200/O200,0))*VLOOKUP(B200,'2-Kosten per locatie'!$A$14:$C$33,3,FALSE)</f>
        <v>0</v>
      </c>
      <c r="O200" s="300">
        <f>IF(OR(M200="nio",M200="eigen dienst"),0,IF(M200&gt;0,VLOOKUP(H200,'3-Productie normen'!A:J,VLOOKUP(M200,'3-Productie normen'!$B$34:$C$35,2,FALSE),FALSE)))</f>
        <v>0</v>
      </c>
      <c r="P200" s="301">
        <f>VLOOKUP(H200,'3-Productie normen'!A:L,12,FALSE)</f>
        <v>0</v>
      </c>
      <c r="Q200" s="301"/>
      <c r="S200" s="302">
        <f t="shared" si="7"/>
        <v>0</v>
      </c>
    </row>
    <row r="201" spans="1:19" ht="14.15" customHeight="1">
      <c r="A201" s="71">
        <v>201</v>
      </c>
      <c r="B201" s="67" t="s">
        <v>210</v>
      </c>
      <c r="C201" s="467" t="s">
        <v>619</v>
      </c>
      <c r="D201" s="467" t="s">
        <v>720</v>
      </c>
      <c r="E201" s="67" t="s">
        <v>713</v>
      </c>
      <c r="F201" s="67" t="s">
        <v>265</v>
      </c>
      <c r="G201" s="67" t="s">
        <v>579</v>
      </c>
      <c r="H201" s="67" t="s">
        <v>630</v>
      </c>
      <c r="I201" s="67" t="s">
        <v>70</v>
      </c>
      <c r="J201" s="67" t="s">
        <v>70</v>
      </c>
      <c r="K201" s="67">
        <v>17.5</v>
      </c>
      <c r="L201" s="299">
        <f t="shared" si="6"/>
        <v>0</v>
      </c>
      <c r="M201" s="221" t="s">
        <v>629</v>
      </c>
      <c r="N201" s="220">
        <f>IF(OR(M201="nio",M201="eigen dienst"),0,IF(M201&gt;0,M201*K201/O201,0))*VLOOKUP(B201,'2-Kosten per locatie'!$A$14:$C$33,3,FALSE)</f>
        <v>0</v>
      </c>
      <c r="O201" s="300">
        <f>IF(OR(M201="nio",M201="eigen dienst"),0,IF(M201&gt;0,VLOOKUP(H201,'3-Productie normen'!A:J,VLOOKUP(M201,'3-Productie normen'!$B$34:$C$35,2,FALSE),FALSE)))</f>
        <v>0</v>
      </c>
      <c r="P201" s="301">
        <f>VLOOKUP(H201,'3-Productie normen'!A:L,12,FALSE)</f>
        <v>0</v>
      </c>
      <c r="Q201" s="301"/>
      <c r="S201" s="302">
        <f t="shared" si="7"/>
        <v>0</v>
      </c>
    </row>
    <row r="202" spans="1:19" ht="14.15" customHeight="1">
      <c r="A202" s="71">
        <v>202</v>
      </c>
      <c r="B202" s="67" t="s">
        <v>210</v>
      </c>
      <c r="C202" s="467" t="s">
        <v>619</v>
      </c>
      <c r="D202" s="467" t="s">
        <v>720</v>
      </c>
      <c r="E202" s="67" t="s">
        <v>713</v>
      </c>
      <c r="F202" s="67" t="s">
        <v>224</v>
      </c>
      <c r="G202" s="67" t="s">
        <v>515</v>
      </c>
      <c r="H202" s="67" t="s">
        <v>630</v>
      </c>
      <c r="I202" s="67" t="s">
        <v>70</v>
      </c>
      <c r="J202" s="67" t="s">
        <v>70</v>
      </c>
      <c r="K202" s="67">
        <v>54.3</v>
      </c>
      <c r="L202" s="299">
        <f t="shared" si="6"/>
        <v>0</v>
      </c>
      <c r="M202" s="221" t="s">
        <v>629</v>
      </c>
      <c r="N202" s="220">
        <f>IF(OR(M202="nio",M202="eigen dienst"),0,IF(M202&gt;0,M202*K202/O202,0))*VLOOKUP(B202,'2-Kosten per locatie'!$A$14:$C$33,3,FALSE)</f>
        <v>0</v>
      </c>
      <c r="O202" s="300">
        <f>IF(OR(M202="nio",M202="eigen dienst"),0,IF(M202&gt;0,VLOOKUP(H202,'3-Productie normen'!A:J,VLOOKUP(M202,'3-Productie normen'!$B$34:$C$35,2,FALSE),FALSE)))</f>
        <v>0</v>
      </c>
      <c r="P202" s="301">
        <f>VLOOKUP(H202,'3-Productie normen'!A:L,12,FALSE)</f>
        <v>0</v>
      </c>
      <c r="Q202" s="301"/>
      <c r="S202" s="302">
        <f t="shared" si="7"/>
        <v>0</v>
      </c>
    </row>
    <row r="203" spans="1:19" ht="14.15" customHeight="1">
      <c r="A203" s="71">
        <v>203</v>
      </c>
      <c r="B203" s="67" t="s">
        <v>210</v>
      </c>
      <c r="C203" s="467" t="s">
        <v>619</v>
      </c>
      <c r="D203" s="467" t="s">
        <v>720</v>
      </c>
      <c r="E203" s="67" t="s">
        <v>713</v>
      </c>
      <c r="F203" s="67" t="s">
        <v>225</v>
      </c>
      <c r="G203" s="67" t="s">
        <v>514</v>
      </c>
      <c r="H203" s="67" t="s">
        <v>630</v>
      </c>
      <c r="I203" s="67" t="s">
        <v>70</v>
      </c>
      <c r="J203" s="67" t="s">
        <v>70</v>
      </c>
      <c r="K203" s="67">
        <v>8.6</v>
      </c>
      <c r="L203" s="299">
        <f t="shared" si="6"/>
        <v>0</v>
      </c>
      <c r="M203" s="221" t="s">
        <v>629</v>
      </c>
      <c r="N203" s="220">
        <f>IF(OR(M203="nio",M203="eigen dienst"),0,IF(M203&gt;0,M203*K203/O203,0))*VLOOKUP(B203,'2-Kosten per locatie'!$A$14:$C$33,3,FALSE)</f>
        <v>0</v>
      </c>
      <c r="O203" s="300">
        <f>IF(OR(M203="nio",M203="eigen dienst"),0,IF(M203&gt;0,VLOOKUP(H203,'3-Productie normen'!A:J,VLOOKUP(M203,'3-Productie normen'!$B$34:$C$35,2,FALSE),FALSE)))</f>
        <v>0</v>
      </c>
      <c r="P203" s="301">
        <f>VLOOKUP(H203,'3-Productie normen'!A:L,12,FALSE)</f>
        <v>0</v>
      </c>
      <c r="Q203" s="301"/>
      <c r="S203" s="302">
        <f t="shared" si="7"/>
        <v>0</v>
      </c>
    </row>
    <row r="204" spans="1:19" ht="14.15" customHeight="1">
      <c r="A204" s="71">
        <v>204</v>
      </c>
      <c r="B204" s="67" t="s">
        <v>210</v>
      </c>
      <c r="C204" s="467" t="s">
        <v>619</v>
      </c>
      <c r="D204" s="467" t="s">
        <v>720</v>
      </c>
      <c r="E204" s="67" t="s">
        <v>713</v>
      </c>
      <c r="F204" s="67" t="s">
        <v>226</v>
      </c>
      <c r="G204" s="67" t="s">
        <v>512</v>
      </c>
      <c r="H204" s="67" t="s">
        <v>630</v>
      </c>
      <c r="I204" s="67" t="s">
        <v>70</v>
      </c>
      <c r="J204" s="67" t="s">
        <v>70</v>
      </c>
      <c r="K204" s="67">
        <v>39.4</v>
      </c>
      <c r="L204" s="299">
        <f t="shared" si="6"/>
        <v>0</v>
      </c>
      <c r="M204" s="221" t="s">
        <v>629</v>
      </c>
      <c r="N204" s="220">
        <f>IF(OR(M204="nio",M204="eigen dienst"),0,IF(M204&gt;0,M204*K204/O204,0))*VLOOKUP(B204,'2-Kosten per locatie'!$A$14:$C$33,3,FALSE)</f>
        <v>0</v>
      </c>
      <c r="O204" s="300">
        <f>IF(OR(M204="nio",M204="eigen dienst"),0,IF(M204&gt;0,VLOOKUP(H204,'3-Productie normen'!A:J,VLOOKUP(M204,'3-Productie normen'!$B$34:$C$35,2,FALSE),FALSE)))</f>
        <v>0</v>
      </c>
      <c r="P204" s="301">
        <f>VLOOKUP(H204,'3-Productie normen'!A:L,12,FALSE)</f>
        <v>0</v>
      </c>
      <c r="Q204" s="301"/>
      <c r="S204" s="302">
        <f t="shared" si="7"/>
        <v>0</v>
      </c>
    </row>
    <row r="205" spans="1:19" ht="14.15" customHeight="1">
      <c r="A205" s="71">
        <v>205</v>
      </c>
      <c r="B205" s="67" t="s">
        <v>210</v>
      </c>
      <c r="C205" s="467" t="s">
        <v>619</v>
      </c>
      <c r="D205" s="467" t="s">
        <v>720</v>
      </c>
      <c r="E205" s="67" t="s">
        <v>713</v>
      </c>
      <c r="F205" s="67" t="s">
        <v>227</v>
      </c>
      <c r="G205" s="67" t="s">
        <v>515</v>
      </c>
      <c r="H205" s="67" t="s">
        <v>609</v>
      </c>
      <c r="I205" s="67" t="s">
        <v>70</v>
      </c>
      <c r="J205" s="67" t="s">
        <v>70</v>
      </c>
      <c r="K205" s="67">
        <v>61.1</v>
      </c>
      <c r="L205" s="299">
        <f t="shared" si="6"/>
        <v>200</v>
      </c>
      <c r="M205" s="221">
        <v>200</v>
      </c>
      <c r="N205" s="220" t="e">
        <f>IF(OR(M205="nio",M205="eigen dienst"),0,IF(M205&gt;0,M205*K205/O205,0))*VLOOKUP(B205,'2-Kosten per locatie'!$A$14:$C$33,3,FALSE)</f>
        <v>#DIV/0!</v>
      </c>
      <c r="O205" s="300">
        <f>IF(OR(M205="nio",M205="eigen dienst"),0,IF(M205&gt;0,VLOOKUP(H205,'3-Productie normen'!A:J,VLOOKUP(M205,'3-Productie normen'!$B$34:$C$35,2,FALSE),FALSE)))</f>
        <v>0</v>
      </c>
      <c r="P205" s="301" t="str">
        <f>VLOOKUP(H205,'3-Productie normen'!A:L,12,FALSE)</f>
        <v>L</v>
      </c>
      <c r="Q205" s="301"/>
      <c r="S205" s="302">
        <f t="shared" si="7"/>
        <v>12220</v>
      </c>
    </row>
    <row r="206" spans="1:19" ht="14.15" customHeight="1">
      <c r="A206" s="71">
        <v>206</v>
      </c>
      <c r="B206" s="67" t="s">
        <v>712</v>
      </c>
      <c r="C206" s="467" t="s">
        <v>620</v>
      </c>
      <c r="D206" s="467" t="s">
        <v>720</v>
      </c>
      <c r="E206" s="67" t="s">
        <v>713</v>
      </c>
      <c r="F206" s="67" t="s">
        <v>220</v>
      </c>
      <c r="G206" s="67" t="s">
        <v>47</v>
      </c>
      <c r="H206" s="67" t="s">
        <v>47</v>
      </c>
      <c r="I206" s="67" t="s">
        <v>597</v>
      </c>
      <c r="J206" s="67" t="s">
        <v>201</v>
      </c>
      <c r="K206" s="67">
        <v>7.6</v>
      </c>
      <c r="L206" s="299">
        <f t="shared" ref="L206:L225" si="8">SUM(M206:M206)</f>
        <v>0</v>
      </c>
      <c r="M206" s="221" t="s">
        <v>631</v>
      </c>
      <c r="N206" s="220">
        <f>IF(OR(M206="nio",M206="eigen dienst"),0,IF(M206&gt;0,M206*K206/O206,0))*VLOOKUP(B206,'2-Kosten per locatie'!$A$14:$C$33,3,FALSE)</f>
        <v>0</v>
      </c>
      <c r="O206" s="300">
        <f>IF(OR(M206="nio",M206="eigen dienst"),0,IF(M206&gt;0,VLOOKUP(H206,'3-Productie normen'!A:J,VLOOKUP(M206,'3-Productie normen'!$B$34:$C$35,2,FALSE),FALSE)))</f>
        <v>0</v>
      </c>
      <c r="P206" s="301" t="str">
        <f>VLOOKUP(H206,'3-Productie normen'!A:L,12,FALSE)</f>
        <v>V</v>
      </c>
      <c r="Q206" s="301"/>
      <c r="S206" s="302">
        <f t="shared" ref="S206:S225" si="9">L206*K206</f>
        <v>0</v>
      </c>
    </row>
    <row r="207" spans="1:19" ht="14.15" customHeight="1">
      <c r="A207" s="71">
        <v>207</v>
      </c>
      <c r="B207" s="67" t="s">
        <v>712</v>
      </c>
      <c r="C207" s="467" t="s">
        <v>620</v>
      </c>
      <c r="D207" s="467" t="s">
        <v>720</v>
      </c>
      <c r="E207" s="67" t="s">
        <v>713</v>
      </c>
      <c r="F207" s="67" t="s">
        <v>228</v>
      </c>
      <c r="G207" s="67" t="s">
        <v>536</v>
      </c>
      <c r="H207" s="67" t="s">
        <v>39</v>
      </c>
      <c r="I207" s="67" t="s">
        <v>70</v>
      </c>
      <c r="J207" s="67" t="s">
        <v>70</v>
      </c>
      <c r="K207" s="67">
        <v>7.9</v>
      </c>
      <c r="L207" s="299">
        <f t="shared" si="8"/>
        <v>0</v>
      </c>
      <c r="M207" s="221" t="s">
        <v>631</v>
      </c>
      <c r="N207" s="220">
        <f>IF(OR(M207="nio",M207="eigen dienst"),0,IF(M207&gt;0,M207*K207/O207,0))*VLOOKUP(B207,'2-Kosten per locatie'!$A$14:$C$33,3,FALSE)</f>
        <v>0</v>
      </c>
      <c r="O207" s="300">
        <f>IF(OR(M207="nio",M207="eigen dienst"),0,IF(M207&gt;0,VLOOKUP(H207,'3-Productie normen'!A:J,VLOOKUP(M207,'3-Productie normen'!$B$34:$C$35,2,FALSE),FALSE)))</f>
        <v>0</v>
      </c>
      <c r="P207" s="301" t="str">
        <f>VLOOKUP(H207,'3-Productie normen'!A:L,12,FALSE)</f>
        <v>V</v>
      </c>
      <c r="Q207" s="301"/>
      <c r="S207" s="302">
        <f t="shared" si="9"/>
        <v>0</v>
      </c>
    </row>
    <row r="208" spans="1:19" ht="14.15" customHeight="1">
      <c r="A208" s="71">
        <v>208</v>
      </c>
      <c r="B208" s="67" t="s">
        <v>712</v>
      </c>
      <c r="C208" s="467" t="s">
        <v>620</v>
      </c>
      <c r="D208" s="467" t="s">
        <v>720</v>
      </c>
      <c r="E208" s="67" t="s">
        <v>713</v>
      </c>
      <c r="F208" s="67" t="s">
        <v>229</v>
      </c>
      <c r="G208" s="67" t="s">
        <v>512</v>
      </c>
      <c r="H208" s="67" t="s">
        <v>39</v>
      </c>
      <c r="I208" s="67" t="s">
        <v>70</v>
      </c>
      <c r="J208" s="67" t="s">
        <v>70</v>
      </c>
      <c r="K208" s="67">
        <v>66.5</v>
      </c>
      <c r="L208" s="299">
        <f t="shared" si="8"/>
        <v>0</v>
      </c>
      <c r="M208" s="221" t="s">
        <v>631</v>
      </c>
      <c r="N208" s="220">
        <f>IF(OR(M208="nio",M208="eigen dienst"),0,IF(M208&gt;0,M208*K208/O208,0))*VLOOKUP(B208,'2-Kosten per locatie'!$A$14:$C$33,3,FALSE)</f>
        <v>0</v>
      </c>
      <c r="O208" s="300">
        <f>IF(OR(M208="nio",M208="eigen dienst"),0,IF(M208&gt;0,VLOOKUP(H208,'3-Productie normen'!A:J,VLOOKUP(M208,'3-Productie normen'!$B$34:$C$35,2,FALSE),FALSE)))</f>
        <v>0</v>
      </c>
      <c r="P208" s="301" t="str">
        <f>VLOOKUP(H208,'3-Productie normen'!A:L,12,FALSE)</f>
        <v>V</v>
      </c>
      <c r="Q208" s="301"/>
      <c r="S208" s="302">
        <f t="shared" si="9"/>
        <v>0</v>
      </c>
    </row>
    <row r="209" spans="1:19" ht="14.15" customHeight="1">
      <c r="A209" s="71">
        <v>209</v>
      </c>
      <c r="B209" s="67" t="s">
        <v>712</v>
      </c>
      <c r="C209" s="467" t="s">
        <v>620</v>
      </c>
      <c r="D209" s="467" t="s">
        <v>720</v>
      </c>
      <c r="E209" s="67" t="s">
        <v>713</v>
      </c>
      <c r="F209" s="67" t="s">
        <v>230</v>
      </c>
      <c r="G209" s="67" t="s">
        <v>536</v>
      </c>
      <c r="H209" s="67" t="s">
        <v>39</v>
      </c>
      <c r="I209" s="67" t="s">
        <v>70</v>
      </c>
      <c r="J209" s="67" t="s">
        <v>70</v>
      </c>
      <c r="K209" s="67">
        <v>7.9</v>
      </c>
      <c r="L209" s="299">
        <f t="shared" si="8"/>
        <v>0</v>
      </c>
      <c r="M209" s="221" t="s">
        <v>631</v>
      </c>
      <c r="N209" s="220">
        <f>IF(OR(M209="nio",M209="eigen dienst"),0,IF(M209&gt;0,M209*K209/O209,0))*VLOOKUP(B209,'2-Kosten per locatie'!$A$14:$C$33,3,FALSE)</f>
        <v>0</v>
      </c>
      <c r="O209" s="300">
        <f>IF(OR(M209="nio",M209="eigen dienst"),0,IF(M209&gt;0,VLOOKUP(H209,'3-Productie normen'!A:J,VLOOKUP(M209,'3-Productie normen'!$B$34:$C$35,2,FALSE),FALSE)))</f>
        <v>0</v>
      </c>
      <c r="P209" s="301" t="str">
        <f>VLOOKUP(H209,'3-Productie normen'!A:L,12,FALSE)</f>
        <v>V</v>
      </c>
      <c r="Q209" s="301"/>
      <c r="S209" s="302">
        <f t="shared" si="9"/>
        <v>0</v>
      </c>
    </row>
    <row r="210" spans="1:19" ht="14.15" customHeight="1">
      <c r="A210" s="71">
        <v>210</v>
      </c>
      <c r="B210" s="67" t="s">
        <v>712</v>
      </c>
      <c r="C210" s="467" t="s">
        <v>620</v>
      </c>
      <c r="D210" s="467" t="s">
        <v>720</v>
      </c>
      <c r="E210" s="67" t="s">
        <v>713</v>
      </c>
      <c r="F210" s="67" t="s">
        <v>231</v>
      </c>
      <c r="G210" s="67" t="s">
        <v>514</v>
      </c>
      <c r="H210" s="67" t="s">
        <v>37</v>
      </c>
      <c r="I210" s="67" t="s">
        <v>601</v>
      </c>
      <c r="J210" s="67" t="s">
        <v>179</v>
      </c>
      <c r="K210" s="67">
        <v>7.9</v>
      </c>
      <c r="L210" s="299">
        <f t="shared" si="8"/>
        <v>0</v>
      </c>
      <c r="M210" s="221" t="s">
        <v>631</v>
      </c>
      <c r="N210" s="220">
        <f>IF(OR(M210="nio",M210="eigen dienst"),0,IF(M210&gt;0,M210*K210/O210,0))*VLOOKUP(B210,'2-Kosten per locatie'!$A$14:$C$33,3,FALSE)</f>
        <v>0</v>
      </c>
      <c r="O210" s="300">
        <f>IF(OR(M210="nio",M210="eigen dienst"),0,IF(M210&gt;0,VLOOKUP(H210,'3-Productie normen'!A:J,VLOOKUP(M210,'3-Productie normen'!$B$34:$C$35,2,FALSE),FALSE)))</f>
        <v>0</v>
      </c>
      <c r="P210" s="301" t="str">
        <f>VLOOKUP(H210,'3-Productie normen'!A:L,12,FALSE)</f>
        <v>S</v>
      </c>
      <c r="Q210" s="301"/>
      <c r="S210" s="302">
        <f t="shared" si="9"/>
        <v>0</v>
      </c>
    </row>
    <row r="211" spans="1:19" ht="14.15" customHeight="1">
      <c r="A211" s="71">
        <v>211</v>
      </c>
      <c r="B211" s="67" t="s">
        <v>712</v>
      </c>
      <c r="C211" s="467" t="s">
        <v>620</v>
      </c>
      <c r="D211" s="467" t="s">
        <v>720</v>
      </c>
      <c r="E211" s="67" t="s">
        <v>713</v>
      </c>
      <c r="F211" s="67" t="s">
        <v>232</v>
      </c>
      <c r="G211" s="67" t="s">
        <v>536</v>
      </c>
      <c r="H211" s="67" t="s">
        <v>39</v>
      </c>
      <c r="I211" s="67" t="s">
        <v>70</v>
      </c>
      <c r="J211" s="67" t="s">
        <v>70</v>
      </c>
      <c r="K211" s="67">
        <v>7.9</v>
      </c>
      <c r="L211" s="299">
        <f t="shared" si="8"/>
        <v>0</v>
      </c>
      <c r="M211" s="221" t="s">
        <v>631</v>
      </c>
      <c r="N211" s="220">
        <f>IF(OR(M211="nio",M211="eigen dienst"),0,IF(M211&gt;0,M211*K211/O211,0))*VLOOKUP(B211,'2-Kosten per locatie'!$A$14:$C$33,3,FALSE)</f>
        <v>0</v>
      </c>
      <c r="O211" s="300">
        <f>IF(OR(M211="nio",M211="eigen dienst"),0,IF(M211&gt;0,VLOOKUP(H211,'3-Productie normen'!A:J,VLOOKUP(M211,'3-Productie normen'!$B$34:$C$35,2,FALSE),FALSE)))</f>
        <v>0</v>
      </c>
      <c r="P211" s="301" t="str">
        <f>VLOOKUP(H211,'3-Productie normen'!A:L,12,FALSE)</f>
        <v>V</v>
      </c>
      <c r="Q211" s="301"/>
      <c r="S211" s="302">
        <f t="shared" si="9"/>
        <v>0</v>
      </c>
    </row>
    <row r="212" spans="1:19" ht="14.15" customHeight="1">
      <c r="A212" s="71">
        <v>212</v>
      </c>
      <c r="B212" s="67" t="s">
        <v>712</v>
      </c>
      <c r="C212" s="467" t="s">
        <v>620</v>
      </c>
      <c r="D212" s="467" t="s">
        <v>720</v>
      </c>
      <c r="E212" s="67" t="s">
        <v>713</v>
      </c>
      <c r="F212" s="67" t="s">
        <v>233</v>
      </c>
      <c r="G212" s="67" t="s">
        <v>515</v>
      </c>
      <c r="H212" s="67" t="s">
        <v>609</v>
      </c>
      <c r="I212" s="67" t="s">
        <v>70</v>
      </c>
      <c r="J212" s="67" t="s">
        <v>70</v>
      </c>
      <c r="K212" s="67">
        <v>53.1</v>
      </c>
      <c r="L212" s="299">
        <f t="shared" si="8"/>
        <v>0</v>
      </c>
      <c r="M212" s="221" t="s">
        <v>631</v>
      </c>
      <c r="N212" s="220">
        <f>IF(OR(M212="nio",M212="eigen dienst"),0,IF(M212&gt;0,M212*K212/O212,0))*VLOOKUP(B212,'2-Kosten per locatie'!$A$14:$C$33,3,FALSE)</f>
        <v>0</v>
      </c>
      <c r="O212" s="300">
        <f>IF(OR(M212="nio",M212="eigen dienst"),0,IF(M212&gt;0,VLOOKUP(H212,'3-Productie normen'!A:J,VLOOKUP(M212,'3-Productie normen'!$B$34:$C$35,2,FALSE),FALSE)))</f>
        <v>0</v>
      </c>
      <c r="P212" s="301" t="str">
        <f>VLOOKUP(H212,'3-Productie normen'!A:L,12,FALSE)</f>
        <v>L</v>
      </c>
      <c r="Q212" s="301"/>
      <c r="S212" s="302">
        <f t="shared" si="9"/>
        <v>0</v>
      </c>
    </row>
    <row r="213" spans="1:19" ht="14.15" customHeight="1">
      <c r="A213" s="71">
        <v>213</v>
      </c>
      <c r="B213" s="67" t="s">
        <v>712</v>
      </c>
      <c r="C213" s="467" t="s">
        <v>620</v>
      </c>
      <c r="D213" s="467" t="s">
        <v>720</v>
      </c>
      <c r="E213" s="67" t="s">
        <v>713</v>
      </c>
      <c r="F213" s="67" t="s">
        <v>234</v>
      </c>
      <c r="G213" s="67" t="s">
        <v>517</v>
      </c>
      <c r="H213" s="67" t="s">
        <v>43</v>
      </c>
      <c r="I213" s="67" t="s">
        <v>70</v>
      </c>
      <c r="J213" s="67" t="s">
        <v>70</v>
      </c>
      <c r="K213" s="67">
        <v>44.8</v>
      </c>
      <c r="L213" s="299">
        <f t="shared" si="8"/>
        <v>0</v>
      </c>
      <c r="M213" s="221" t="s">
        <v>631</v>
      </c>
      <c r="N213" s="220">
        <f>IF(OR(M213="nio",M213="eigen dienst"),0,IF(M213&gt;0,M213*K213/O213,0))*VLOOKUP(B213,'2-Kosten per locatie'!$A$14:$C$33,3,FALSE)</f>
        <v>0</v>
      </c>
      <c r="O213" s="300">
        <f>IF(OR(M213="nio",M213="eigen dienst"),0,IF(M213&gt;0,VLOOKUP(H213,'3-Productie normen'!A:J,VLOOKUP(M213,'3-Productie normen'!$B$34:$C$35,2,FALSE),FALSE)))</f>
        <v>0</v>
      </c>
      <c r="P213" s="301" t="str">
        <f>VLOOKUP(H213,'3-Productie normen'!A:L,12,FALSE)</f>
        <v>B</v>
      </c>
      <c r="Q213" s="301"/>
      <c r="S213" s="302">
        <f t="shared" si="9"/>
        <v>0</v>
      </c>
    </row>
    <row r="214" spans="1:19" ht="14.15" customHeight="1">
      <c r="A214" s="71">
        <v>214</v>
      </c>
      <c r="B214" s="67" t="s">
        <v>712</v>
      </c>
      <c r="C214" s="467" t="s">
        <v>620</v>
      </c>
      <c r="D214" s="467" t="s">
        <v>720</v>
      </c>
      <c r="E214" s="67" t="s">
        <v>713</v>
      </c>
      <c r="F214" s="67" t="s">
        <v>235</v>
      </c>
      <c r="G214" s="67" t="s">
        <v>514</v>
      </c>
      <c r="H214" s="67" t="s">
        <v>37</v>
      </c>
      <c r="I214" s="67" t="s">
        <v>601</v>
      </c>
      <c r="J214" s="67" t="s">
        <v>179</v>
      </c>
      <c r="K214" s="67">
        <v>8.9</v>
      </c>
      <c r="L214" s="299">
        <f t="shared" si="8"/>
        <v>0</v>
      </c>
      <c r="M214" s="221" t="s">
        <v>631</v>
      </c>
      <c r="N214" s="220">
        <f>IF(OR(M214="nio",M214="eigen dienst"),0,IF(M214&gt;0,M214*K214/O214,0))*VLOOKUP(B214,'2-Kosten per locatie'!$A$14:$C$33,3,FALSE)</f>
        <v>0</v>
      </c>
      <c r="O214" s="300">
        <f>IF(OR(M214="nio",M214="eigen dienst"),0,IF(M214&gt;0,VLOOKUP(H214,'3-Productie normen'!A:J,VLOOKUP(M214,'3-Productie normen'!$B$34:$C$35,2,FALSE),FALSE)))</f>
        <v>0</v>
      </c>
      <c r="P214" s="301" t="str">
        <f>VLOOKUP(H214,'3-Productie normen'!A:L,12,FALSE)</f>
        <v>S</v>
      </c>
      <c r="Q214" s="301"/>
      <c r="S214" s="302">
        <f t="shared" si="9"/>
        <v>0</v>
      </c>
    </row>
    <row r="215" spans="1:19" ht="14.15" customHeight="1">
      <c r="A215" s="71">
        <v>215</v>
      </c>
      <c r="B215" s="67" t="s">
        <v>712</v>
      </c>
      <c r="C215" s="467" t="s">
        <v>620</v>
      </c>
      <c r="D215" s="467" t="s">
        <v>720</v>
      </c>
      <c r="E215" s="67" t="s">
        <v>713</v>
      </c>
      <c r="F215" s="67" t="s">
        <v>236</v>
      </c>
      <c r="G215" s="67" t="s">
        <v>518</v>
      </c>
      <c r="H215" s="67" t="s">
        <v>44</v>
      </c>
      <c r="I215" s="67" t="s">
        <v>70</v>
      </c>
      <c r="J215" s="67" t="s">
        <v>70</v>
      </c>
      <c r="K215" s="67">
        <v>8.1</v>
      </c>
      <c r="L215" s="299">
        <f t="shared" si="8"/>
        <v>0</v>
      </c>
      <c r="M215" s="221" t="s">
        <v>631</v>
      </c>
      <c r="N215" s="220">
        <f>IF(OR(M215="nio",M215="eigen dienst"),0,IF(M215&gt;0,M215*K215/O215,0))*VLOOKUP(B215,'2-Kosten per locatie'!$A$14:$C$33,3,FALSE)</f>
        <v>0</v>
      </c>
      <c r="O215" s="300">
        <f>IF(OR(M215="nio",M215="eigen dienst"),0,IF(M215&gt;0,VLOOKUP(H215,'3-Productie normen'!A:J,VLOOKUP(M215,'3-Productie normen'!$B$34:$C$35,2,FALSE),FALSE)))</f>
        <v>0</v>
      </c>
      <c r="P215" s="301" t="str">
        <f>VLOOKUP(H215,'3-Productie normen'!A:L,12,FALSE)</f>
        <v>V</v>
      </c>
      <c r="Q215" s="301"/>
      <c r="S215" s="302">
        <f t="shared" si="9"/>
        <v>0</v>
      </c>
    </row>
    <row r="216" spans="1:19" ht="14.15" customHeight="1">
      <c r="A216" s="71">
        <v>216</v>
      </c>
      <c r="B216" s="67" t="s">
        <v>712</v>
      </c>
      <c r="C216" s="467" t="s">
        <v>620</v>
      </c>
      <c r="D216" s="467" t="s">
        <v>720</v>
      </c>
      <c r="E216" s="67" t="s">
        <v>713</v>
      </c>
      <c r="F216" s="67" t="s">
        <v>237</v>
      </c>
      <c r="G216" s="67" t="s">
        <v>569</v>
      </c>
      <c r="H216" s="67" t="s">
        <v>630</v>
      </c>
      <c r="I216" s="67" t="s">
        <v>601</v>
      </c>
      <c r="J216" s="67" t="s">
        <v>200</v>
      </c>
      <c r="K216" s="67">
        <v>5.8</v>
      </c>
      <c r="L216" s="299">
        <f t="shared" si="8"/>
        <v>0</v>
      </c>
      <c r="M216" s="221" t="s">
        <v>629</v>
      </c>
      <c r="N216" s="220">
        <f>IF(OR(M216="nio",M216="eigen dienst"),0,IF(M216&gt;0,M216*K216/O216,0))*VLOOKUP(B216,'2-Kosten per locatie'!$A$14:$C$33,3,FALSE)</f>
        <v>0</v>
      </c>
      <c r="O216" s="300">
        <f>IF(OR(M216="nio",M216="eigen dienst"),0,IF(M216&gt;0,VLOOKUP(H216,'3-Productie normen'!A:J,VLOOKUP(M216,'3-Productie normen'!$B$34:$C$35,2,FALSE),FALSE)))</f>
        <v>0</v>
      </c>
      <c r="P216" s="301">
        <f>VLOOKUP(H216,'3-Productie normen'!A:L,12,FALSE)</f>
        <v>0</v>
      </c>
      <c r="Q216" s="301"/>
      <c r="S216" s="302">
        <f t="shared" si="9"/>
        <v>0</v>
      </c>
    </row>
    <row r="217" spans="1:19" ht="14.15" customHeight="1">
      <c r="A217" s="71">
        <v>217</v>
      </c>
      <c r="B217" s="67" t="s">
        <v>712</v>
      </c>
      <c r="C217" s="467" t="s">
        <v>620</v>
      </c>
      <c r="D217" s="467" t="s">
        <v>720</v>
      </c>
      <c r="E217" s="67" t="s">
        <v>713</v>
      </c>
      <c r="F217" s="67" t="s">
        <v>221</v>
      </c>
      <c r="G217" s="67" t="s">
        <v>578</v>
      </c>
      <c r="H217" s="67" t="s">
        <v>39</v>
      </c>
      <c r="I217" s="67" t="s">
        <v>70</v>
      </c>
      <c r="J217" s="67" t="s">
        <v>70</v>
      </c>
      <c r="K217" s="67">
        <v>82.2</v>
      </c>
      <c r="L217" s="299">
        <f t="shared" si="8"/>
        <v>0</v>
      </c>
      <c r="M217" s="221" t="s">
        <v>631</v>
      </c>
      <c r="N217" s="220">
        <f>IF(OR(M217="nio",M217="eigen dienst"),0,IF(M217&gt;0,M217*K217/O217,0))*VLOOKUP(B217,'2-Kosten per locatie'!$A$14:$C$33,3,FALSE)</f>
        <v>0</v>
      </c>
      <c r="O217" s="300">
        <f>IF(OR(M217="nio",M217="eigen dienst"),0,IF(M217&gt;0,VLOOKUP(H217,'3-Productie normen'!A:J,VLOOKUP(M217,'3-Productie normen'!$B$34:$C$35,2,FALSE),FALSE)))</f>
        <v>0</v>
      </c>
      <c r="P217" s="301" t="str">
        <f>VLOOKUP(H217,'3-Productie normen'!A:L,12,FALSE)</f>
        <v>V</v>
      </c>
      <c r="Q217" s="301"/>
      <c r="S217" s="302">
        <f t="shared" si="9"/>
        <v>0</v>
      </c>
    </row>
    <row r="218" spans="1:19" ht="14.15" customHeight="1">
      <c r="A218" s="71">
        <v>218</v>
      </c>
      <c r="B218" s="67" t="s">
        <v>712</v>
      </c>
      <c r="C218" s="467" t="s">
        <v>620</v>
      </c>
      <c r="D218" s="467" t="s">
        <v>720</v>
      </c>
      <c r="E218" s="67" t="s">
        <v>713</v>
      </c>
      <c r="F218" s="67" t="s">
        <v>238</v>
      </c>
      <c r="G218" s="67" t="s">
        <v>522</v>
      </c>
      <c r="H218" s="67" t="s">
        <v>44</v>
      </c>
      <c r="I218" s="67" t="s">
        <v>70</v>
      </c>
      <c r="J218" s="67" t="s">
        <v>70</v>
      </c>
      <c r="K218" s="67">
        <v>1.5</v>
      </c>
      <c r="L218" s="299">
        <f t="shared" si="8"/>
        <v>0</v>
      </c>
      <c r="M218" s="221" t="s">
        <v>631</v>
      </c>
      <c r="N218" s="220">
        <f>IF(OR(M218="nio",M218="eigen dienst"),0,IF(M218&gt;0,M218*K218/O218,0))*VLOOKUP(B218,'2-Kosten per locatie'!$A$14:$C$33,3,FALSE)</f>
        <v>0</v>
      </c>
      <c r="O218" s="300">
        <f>IF(OR(M218="nio",M218="eigen dienst"),0,IF(M218&gt;0,VLOOKUP(H218,'3-Productie normen'!A:J,VLOOKUP(M218,'3-Productie normen'!$B$34:$C$35,2,FALSE),FALSE)))</f>
        <v>0</v>
      </c>
      <c r="P218" s="301" t="str">
        <f>VLOOKUP(H218,'3-Productie normen'!A:L,12,FALSE)</f>
        <v>V</v>
      </c>
      <c r="Q218" s="301"/>
      <c r="S218" s="302">
        <f t="shared" si="9"/>
        <v>0</v>
      </c>
    </row>
    <row r="219" spans="1:19" ht="14.15" customHeight="1">
      <c r="A219" s="71">
        <v>219</v>
      </c>
      <c r="B219" s="67" t="s">
        <v>712</v>
      </c>
      <c r="C219" s="467" t="s">
        <v>620</v>
      </c>
      <c r="D219" s="467" t="s">
        <v>720</v>
      </c>
      <c r="E219" s="67" t="s">
        <v>713</v>
      </c>
      <c r="F219" s="67" t="s">
        <v>239</v>
      </c>
      <c r="G219" s="67" t="s">
        <v>513</v>
      </c>
      <c r="H219" s="67" t="s">
        <v>45</v>
      </c>
      <c r="I219" s="67" t="s">
        <v>599</v>
      </c>
      <c r="J219" s="67" t="s">
        <v>200</v>
      </c>
      <c r="K219" s="67">
        <v>80.099999999999994</v>
      </c>
      <c r="L219" s="299">
        <f t="shared" si="8"/>
        <v>0</v>
      </c>
      <c r="M219" s="221" t="s">
        <v>631</v>
      </c>
      <c r="N219" s="220">
        <f>IF(OR(M219="nio",M219="eigen dienst"),0,IF(M219&gt;0,M219*K219/O219,0))*VLOOKUP(B219,'2-Kosten per locatie'!$A$14:$C$33,3,FALSE)</f>
        <v>0</v>
      </c>
      <c r="O219" s="300">
        <f>IF(OR(M219="nio",M219="eigen dienst"),0,IF(M219&gt;0,VLOOKUP(H219,'3-Productie normen'!A:J,VLOOKUP(M219,'3-Productie normen'!$B$34:$C$35,2,FALSE),FALSE)))</f>
        <v>0</v>
      </c>
      <c r="P219" s="301" t="str">
        <f>VLOOKUP(H219,'3-Productie normen'!A:L,12,FALSE)</f>
        <v>L</v>
      </c>
      <c r="Q219" s="301"/>
      <c r="S219" s="302">
        <f t="shared" si="9"/>
        <v>0</v>
      </c>
    </row>
    <row r="220" spans="1:19" ht="14.15" customHeight="1">
      <c r="A220" s="71">
        <v>220</v>
      </c>
      <c r="B220" s="67" t="s">
        <v>712</v>
      </c>
      <c r="C220" s="467" t="s">
        <v>620</v>
      </c>
      <c r="D220" s="467" t="s">
        <v>720</v>
      </c>
      <c r="E220" s="67" t="s">
        <v>713</v>
      </c>
      <c r="F220" s="67" t="s">
        <v>240</v>
      </c>
      <c r="G220" s="67" t="s">
        <v>583</v>
      </c>
      <c r="H220" s="67" t="s">
        <v>44</v>
      </c>
      <c r="I220" s="67" t="s">
        <v>599</v>
      </c>
      <c r="J220" s="67" t="s">
        <v>200</v>
      </c>
      <c r="K220" s="67">
        <v>5.7</v>
      </c>
      <c r="L220" s="299">
        <f t="shared" si="8"/>
        <v>0</v>
      </c>
      <c r="M220" s="221" t="s">
        <v>631</v>
      </c>
      <c r="N220" s="220">
        <f>IF(OR(M220="nio",M220="eigen dienst"),0,IF(M220&gt;0,M220*K220/O220,0))*VLOOKUP(B220,'2-Kosten per locatie'!$A$14:$C$33,3,FALSE)</f>
        <v>0</v>
      </c>
      <c r="O220" s="300">
        <f>IF(OR(M220="nio",M220="eigen dienst"),0,IF(M220&gt;0,VLOOKUP(H220,'3-Productie normen'!A:J,VLOOKUP(M220,'3-Productie normen'!$B$34:$C$35,2,FALSE),FALSE)))</f>
        <v>0</v>
      </c>
      <c r="P220" s="301" t="str">
        <f>VLOOKUP(H220,'3-Productie normen'!A:L,12,FALSE)</f>
        <v>V</v>
      </c>
      <c r="Q220" s="301"/>
      <c r="S220" s="302">
        <f t="shared" si="9"/>
        <v>0</v>
      </c>
    </row>
    <row r="221" spans="1:19" ht="14.15" customHeight="1">
      <c r="A221" s="71">
        <v>221</v>
      </c>
      <c r="B221" s="67" t="s">
        <v>712</v>
      </c>
      <c r="C221" s="467" t="s">
        <v>620</v>
      </c>
      <c r="D221" s="467" t="s">
        <v>720</v>
      </c>
      <c r="E221" s="67" t="s">
        <v>713</v>
      </c>
      <c r="F221" s="67" t="s">
        <v>241</v>
      </c>
      <c r="G221" s="67" t="s">
        <v>514</v>
      </c>
      <c r="H221" s="67" t="s">
        <v>37</v>
      </c>
      <c r="I221" s="67" t="s">
        <v>601</v>
      </c>
      <c r="J221" s="67" t="s">
        <v>179</v>
      </c>
      <c r="K221" s="67">
        <v>5.5</v>
      </c>
      <c r="L221" s="299">
        <f t="shared" si="8"/>
        <v>0</v>
      </c>
      <c r="M221" s="221" t="s">
        <v>631</v>
      </c>
      <c r="N221" s="220">
        <f>IF(OR(M221="nio",M221="eigen dienst"),0,IF(M221&gt;0,M221*K221/O221,0))*VLOOKUP(B221,'2-Kosten per locatie'!$A$14:$C$33,3,FALSE)</f>
        <v>0</v>
      </c>
      <c r="O221" s="300">
        <f>IF(OR(M221="nio",M221="eigen dienst"),0,IF(M221&gt;0,VLOOKUP(H221,'3-Productie normen'!A:J,VLOOKUP(M221,'3-Productie normen'!$B$34:$C$35,2,FALSE),FALSE)))</f>
        <v>0</v>
      </c>
      <c r="P221" s="301" t="str">
        <f>VLOOKUP(H221,'3-Productie normen'!A:L,12,FALSE)</f>
        <v>S</v>
      </c>
      <c r="Q221" s="301"/>
      <c r="S221" s="302">
        <f t="shared" si="9"/>
        <v>0</v>
      </c>
    </row>
    <row r="222" spans="1:19" ht="14.15" customHeight="1">
      <c r="A222" s="71">
        <v>222</v>
      </c>
      <c r="B222" s="67" t="s">
        <v>712</v>
      </c>
      <c r="C222" s="467" t="s">
        <v>620</v>
      </c>
      <c r="D222" s="467" t="s">
        <v>720</v>
      </c>
      <c r="E222" s="67" t="s">
        <v>713</v>
      </c>
      <c r="F222" s="67" t="s">
        <v>242</v>
      </c>
      <c r="G222" s="67" t="s">
        <v>515</v>
      </c>
      <c r="H222" s="67" t="s">
        <v>609</v>
      </c>
      <c r="I222" s="67" t="s">
        <v>70</v>
      </c>
      <c r="J222" s="67" t="s">
        <v>70</v>
      </c>
      <c r="K222" s="67">
        <v>57.5</v>
      </c>
      <c r="L222" s="299">
        <f t="shared" si="8"/>
        <v>0</v>
      </c>
      <c r="M222" s="221" t="s">
        <v>631</v>
      </c>
      <c r="N222" s="220">
        <f>IF(OR(M222="nio",M222="eigen dienst"),0,IF(M222&gt;0,M222*K222/O222,0))*VLOOKUP(B222,'2-Kosten per locatie'!$A$14:$C$33,3,FALSE)</f>
        <v>0</v>
      </c>
      <c r="O222" s="300">
        <f>IF(OR(M222="nio",M222="eigen dienst"),0,IF(M222&gt;0,VLOOKUP(H222,'3-Productie normen'!A:J,VLOOKUP(M222,'3-Productie normen'!$B$34:$C$35,2,FALSE),FALSE)))</f>
        <v>0</v>
      </c>
      <c r="P222" s="301" t="str">
        <f>VLOOKUP(H222,'3-Productie normen'!A:L,12,FALSE)</f>
        <v>L</v>
      </c>
      <c r="Q222" s="301"/>
      <c r="S222" s="302">
        <f t="shared" si="9"/>
        <v>0</v>
      </c>
    </row>
    <row r="223" spans="1:19" ht="14.15" customHeight="1">
      <c r="A223" s="71">
        <v>223</v>
      </c>
      <c r="B223" s="67" t="s">
        <v>712</v>
      </c>
      <c r="C223" s="467" t="s">
        <v>620</v>
      </c>
      <c r="D223" s="467" t="s">
        <v>720</v>
      </c>
      <c r="E223" s="67" t="s">
        <v>713</v>
      </c>
      <c r="F223" s="67" t="s">
        <v>243</v>
      </c>
      <c r="G223" s="67" t="s">
        <v>515</v>
      </c>
      <c r="H223" s="67" t="s">
        <v>609</v>
      </c>
      <c r="I223" s="67" t="s">
        <v>70</v>
      </c>
      <c r="J223" s="67" t="s">
        <v>70</v>
      </c>
      <c r="K223" s="67">
        <v>57.5</v>
      </c>
      <c r="L223" s="299">
        <f t="shared" si="8"/>
        <v>0</v>
      </c>
      <c r="M223" s="221" t="s">
        <v>631</v>
      </c>
      <c r="N223" s="220">
        <f>IF(OR(M223="nio",M223="eigen dienst"),0,IF(M223&gt;0,M223*K223/O223,0))*VLOOKUP(B223,'2-Kosten per locatie'!$A$14:$C$33,3,FALSE)</f>
        <v>0</v>
      </c>
      <c r="O223" s="300">
        <f>IF(OR(M223="nio",M223="eigen dienst"),0,IF(M223&gt;0,VLOOKUP(H223,'3-Productie normen'!A:J,VLOOKUP(M223,'3-Productie normen'!$B$34:$C$35,2,FALSE),FALSE)))</f>
        <v>0</v>
      </c>
      <c r="P223" s="301" t="str">
        <f>VLOOKUP(H223,'3-Productie normen'!A:L,12,FALSE)</f>
        <v>L</v>
      </c>
      <c r="Q223" s="301"/>
      <c r="S223" s="302">
        <f t="shared" si="9"/>
        <v>0</v>
      </c>
    </row>
    <row r="224" spans="1:19" ht="14.15" customHeight="1">
      <c r="A224" s="71">
        <v>224</v>
      </c>
      <c r="B224" s="67" t="s">
        <v>712</v>
      </c>
      <c r="C224" s="467" t="s">
        <v>620</v>
      </c>
      <c r="D224" s="467" t="s">
        <v>720</v>
      </c>
      <c r="E224" s="67" t="s">
        <v>713</v>
      </c>
      <c r="F224" s="67" t="s">
        <v>244</v>
      </c>
      <c r="G224" s="67" t="s">
        <v>578</v>
      </c>
      <c r="H224" s="67" t="s">
        <v>39</v>
      </c>
      <c r="I224" s="67" t="s">
        <v>70</v>
      </c>
      <c r="J224" s="67" t="s">
        <v>70</v>
      </c>
      <c r="K224" s="67">
        <v>80.400000000000006</v>
      </c>
      <c r="L224" s="299">
        <f t="shared" si="8"/>
        <v>0</v>
      </c>
      <c r="M224" s="221" t="s">
        <v>631</v>
      </c>
      <c r="N224" s="220">
        <f>IF(OR(M224="nio",M224="eigen dienst"),0,IF(M224&gt;0,M224*K224/O224,0))*VLOOKUP(B224,'2-Kosten per locatie'!$A$14:$C$33,3,FALSE)</f>
        <v>0</v>
      </c>
      <c r="O224" s="300">
        <f>IF(OR(M224="nio",M224="eigen dienst"),0,IF(M224&gt;0,VLOOKUP(H224,'3-Productie normen'!A:J,VLOOKUP(M224,'3-Productie normen'!$B$34:$C$35,2,FALSE),FALSE)))</f>
        <v>0</v>
      </c>
      <c r="P224" s="301" t="str">
        <f>VLOOKUP(H224,'3-Productie normen'!A:L,12,FALSE)</f>
        <v>V</v>
      </c>
      <c r="Q224" s="301"/>
      <c r="S224" s="302">
        <f t="shared" si="9"/>
        <v>0</v>
      </c>
    </row>
    <row r="225" spans="1:19" ht="14.15" customHeight="1">
      <c r="A225" s="71">
        <v>225</v>
      </c>
      <c r="B225" s="67" t="s">
        <v>712</v>
      </c>
      <c r="C225" s="467" t="s">
        <v>620</v>
      </c>
      <c r="D225" s="467" t="s">
        <v>720</v>
      </c>
      <c r="E225" s="67" t="s">
        <v>713</v>
      </c>
      <c r="F225" s="67" t="s">
        <v>245</v>
      </c>
      <c r="G225" s="67" t="s">
        <v>514</v>
      </c>
      <c r="H225" s="67" t="s">
        <v>37</v>
      </c>
      <c r="I225" s="67" t="s">
        <v>601</v>
      </c>
      <c r="J225" s="67" t="s">
        <v>179</v>
      </c>
      <c r="K225" s="67">
        <v>7.5</v>
      </c>
      <c r="L225" s="299">
        <f t="shared" si="8"/>
        <v>0</v>
      </c>
      <c r="M225" s="221" t="s">
        <v>631</v>
      </c>
      <c r="N225" s="220">
        <f>IF(OR(M225="nio",M225="eigen dienst"),0,IF(M225&gt;0,M225*K225/O225,0))*VLOOKUP(B225,'2-Kosten per locatie'!$A$14:$C$33,3,FALSE)</f>
        <v>0</v>
      </c>
      <c r="O225" s="300">
        <f>IF(OR(M225="nio",M225="eigen dienst"),0,IF(M225&gt;0,VLOOKUP(H225,'3-Productie normen'!A:J,VLOOKUP(M225,'3-Productie normen'!$B$34:$C$35,2,FALSE),FALSE)))</f>
        <v>0</v>
      </c>
      <c r="P225" s="301" t="str">
        <f>VLOOKUP(H225,'3-Productie normen'!A:L,12,FALSE)</f>
        <v>S</v>
      </c>
      <c r="Q225" s="301"/>
      <c r="S225" s="302">
        <f t="shared" si="9"/>
        <v>0</v>
      </c>
    </row>
    <row r="226" spans="1:19" ht="14.15" customHeight="1">
      <c r="A226" s="71">
        <v>226</v>
      </c>
      <c r="B226" s="67" t="s">
        <v>712</v>
      </c>
      <c r="C226" s="467" t="s">
        <v>620</v>
      </c>
      <c r="D226" s="467" t="s">
        <v>720</v>
      </c>
      <c r="E226" s="67" t="s">
        <v>713</v>
      </c>
      <c r="F226" s="67" t="s">
        <v>246</v>
      </c>
      <c r="G226" s="67" t="s">
        <v>514</v>
      </c>
      <c r="H226" s="67" t="s">
        <v>37</v>
      </c>
      <c r="I226" s="67" t="s">
        <v>601</v>
      </c>
      <c r="J226" s="67" t="s">
        <v>179</v>
      </c>
      <c r="K226" s="67">
        <v>1.8</v>
      </c>
      <c r="L226" s="299">
        <f t="shared" ref="L226:L289" si="10">SUM(M226:M226)</f>
        <v>0</v>
      </c>
      <c r="M226" s="221" t="s">
        <v>631</v>
      </c>
      <c r="N226" s="220">
        <f>IF(OR(M226="nio",M226="eigen dienst"),0,IF(M226&gt;0,M226*K226/O226,0))*VLOOKUP(B226,'2-Kosten per locatie'!$A$14:$C$33,3,FALSE)</f>
        <v>0</v>
      </c>
      <c r="O226" s="300">
        <f>IF(OR(M226="nio",M226="eigen dienst"),0,IF(M226&gt;0,VLOOKUP(H226,'3-Productie normen'!A:J,VLOOKUP(M226,'3-Productie normen'!$B$34:$C$35,2,FALSE),FALSE)))</f>
        <v>0</v>
      </c>
      <c r="P226" s="301" t="str">
        <f>VLOOKUP(H226,'3-Productie normen'!A:L,12,FALSE)</f>
        <v>S</v>
      </c>
      <c r="Q226" s="301"/>
      <c r="S226" s="302">
        <f t="shared" ref="S226:S289" si="11">L226*K226</f>
        <v>0</v>
      </c>
    </row>
    <row r="227" spans="1:19" ht="14.15" customHeight="1">
      <c r="A227" s="71">
        <v>227</v>
      </c>
      <c r="B227" s="67" t="s">
        <v>712</v>
      </c>
      <c r="C227" s="467" t="s">
        <v>620</v>
      </c>
      <c r="D227" s="467" t="s">
        <v>720</v>
      </c>
      <c r="E227" s="67" t="s">
        <v>713</v>
      </c>
      <c r="F227" s="67" t="s">
        <v>247</v>
      </c>
      <c r="G227" s="67" t="s">
        <v>536</v>
      </c>
      <c r="H227" s="67" t="s">
        <v>39</v>
      </c>
      <c r="I227" s="67" t="s">
        <v>70</v>
      </c>
      <c r="J227" s="67" t="s">
        <v>70</v>
      </c>
      <c r="K227" s="67">
        <v>3.7</v>
      </c>
      <c r="L227" s="299">
        <f t="shared" si="10"/>
        <v>0</v>
      </c>
      <c r="M227" s="221" t="s">
        <v>631</v>
      </c>
      <c r="N227" s="220">
        <f>IF(OR(M227="nio",M227="eigen dienst"),0,IF(M227&gt;0,M227*K227/O227,0))*VLOOKUP(B227,'2-Kosten per locatie'!$A$14:$C$33,3,FALSE)</f>
        <v>0</v>
      </c>
      <c r="O227" s="300">
        <f>IF(OR(M227="nio",M227="eigen dienst"),0,IF(M227&gt;0,VLOOKUP(H227,'3-Productie normen'!A:J,VLOOKUP(M227,'3-Productie normen'!$B$34:$C$35,2,FALSE),FALSE)))</f>
        <v>0</v>
      </c>
      <c r="P227" s="301" t="str">
        <f>VLOOKUP(H227,'3-Productie normen'!A:L,12,FALSE)</f>
        <v>V</v>
      </c>
      <c r="Q227" s="301"/>
      <c r="S227" s="302">
        <f t="shared" si="11"/>
        <v>0</v>
      </c>
    </row>
    <row r="228" spans="1:19" ht="14.15" customHeight="1">
      <c r="A228" s="71">
        <v>228</v>
      </c>
      <c r="B228" s="67" t="s">
        <v>712</v>
      </c>
      <c r="C228" s="467" t="s">
        <v>620</v>
      </c>
      <c r="D228" s="467" t="s">
        <v>720</v>
      </c>
      <c r="E228" s="67" t="s">
        <v>713</v>
      </c>
      <c r="F228" s="67" t="s">
        <v>222</v>
      </c>
      <c r="G228" s="67" t="s">
        <v>516</v>
      </c>
      <c r="H228" s="67" t="s">
        <v>35</v>
      </c>
      <c r="I228" s="67" t="s">
        <v>70</v>
      </c>
      <c r="J228" s="67" t="s">
        <v>70</v>
      </c>
      <c r="K228" s="67">
        <v>28.8</v>
      </c>
      <c r="L228" s="299">
        <f t="shared" si="10"/>
        <v>0</v>
      </c>
      <c r="M228" s="221" t="s">
        <v>631</v>
      </c>
      <c r="N228" s="220">
        <f>IF(OR(M228="nio",M228="eigen dienst"),0,IF(M228&gt;0,M228*K228/O228,0))*VLOOKUP(B228,'2-Kosten per locatie'!$A$14:$C$33,3,FALSE)</f>
        <v>0</v>
      </c>
      <c r="O228" s="300">
        <f>IF(OR(M228="nio",M228="eigen dienst"),0,IF(M228&gt;0,VLOOKUP(H228,'3-Productie normen'!A:J,VLOOKUP(M228,'3-Productie normen'!$B$34:$C$35,2,FALSE),FALSE)))</f>
        <v>0</v>
      </c>
      <c r="P228" s="301" t="str">
        <f>VLOOKUP(H228,'3-Productie normen'!A:L,12,FALSE)</f>
        <v>B</v>
      </c>
      <c r="Q228" s="301"/>
      <c r="S228" s="302">
        <f t="shared" si="11"/>
        <v>0</v>
      </c>
    </row>
    <row r="229" spans="1:19" ht="14.15" customHeight="1">
      <c r="A229" s="71">
        <v>229</v>
      </c>
      <c r="B229" s="67" t="s">
        <v>712</v>
      </c>
      <c r="C229" s="467" t="s">
        <v>620</v>
      </c>
      <c r="D229" s="467" t="s">
        <v>720</v>
      </c>
      <c r="E229" s="67" t="s">
        <v>713</v>
      </c>
      <c r="F229" s="67" t="s">
        <v>248</v>
      </c>
      <c r="G229" s="67" t="s">
        <v>47</v>
      </c>
      <c r="H229" s="67" t="s">
        <v>47</v>
      </c>
      <c r="I229" s="67" t="s">
        <v>70</v>
      </c>
      <c r="J229" s="67" t="s">
        <v>70</v>
      </c>
      <c r="K229" s="67">
        <v>5.4</v>
      </c>
      <c r="L229" s="299">
        <f t="shared" si="10"/>
        <v>0</v>
      </c>
      <c r="M229" s="221" t="s">
        <v>631</v>
      </c>
      <c r="N229" s="220">
        <f>IF(OR(M229="nio",M229="eigen dienst"),0,IF(M229&gt;0,M229*K229/O229,0))*VLOOKUP(B229,'2-Kosten per locatie'!$A$14:$C$33,3,FALSE)</f>
        <v>0</v>
      </c>
      <c r="O229" s="300">
        <f>IF(OR(M229="nio",M229="eigen dienst"),0,IF(M229&gt;0,VLOOKUP(H229,'3-Productie normen'!A:J,VLOOKUP(M229,'3-Productie normen'!$B$34:$C$35,2,FALSE),FALSE)))</f>
        <v>0</v>
      </c>
      <c r="P229" s="301" t="str">
        <f>VLOOKUP(H229,'3-Productie normen'!A:L,12,FALSE)</f>
        <v>V</v>
      </c>
      <c r="Q229" s="301"/>
      <c r="S229" s="302">
        <f t="shared" si="11"/>
        <v>0</v>
      </c>
    </row>
    <row r="230" spans="1:19" ht="14.15" customHeight="1">
      <c r="A230" s="71">
        <v>230</v>
      </c>
      <c r="B230" s="67" t="s">
        <v>712</v>
      </c>
      <c r="C230" s="467" t="s">
        <v>620</v>
      </c>
      <c r="D230" s="467" t="s">
        <v>720</v>
      </c>
      <c r="E230" s="67" t="s">
        <v>713</v>
      </c>
      <c r="F230" s="67" t="s">
        <v>249</v>
      </c>
      <c r="G230" s="67" t="s">
        <v>536</v>
      </c>
      <c r="H230" s="67" t="s">
        <v>39</v>
      </c>
      <c r="I230" s="67" t="s">
        <v>70</v>
      </c>
      <c r="J230" s="67" t="s">
        <v>70</v>
      </c>
      <c r="K230" s="67">
        <v>7.9</v>
      </c>
      <c r="L230" s="299">
        <f t="shared" si="10"/>
        <v>0</v>
      </c>
      <c r="M230" s="221" t="s">
        <v>631</v>
      </c>
      <c r="N230" s="220">
        <f>IF(OR(M230="nio",M230="eigen dienst"),0,IF(M230&gt;0,M230*K230/O230,0))*VLOOKUP(B230,'2-Kosten per locatie'!$A$14:$C$33,3,FALSE)</f>
        <v>0</v>
      </c>
      <c r="O230" s="300">
        <f>IF(OR(M230="nio",M230="eigen dienst"),0,IF(M230&gt;0,VLOOKUP(H230,'3-Productie normen'!A:J,VLOOKUP(M230,'3-Productie normen'!$B$34:$C$35,2,FALSE),FALSE)))</f>
        <v>0</v>
      </c>
      <c r="P230" s="301" t="str">
        <f>VLOOKUP(H230,'3-Productie normen'!A:L,12,FALSE)</f>
        <v>V</v>
      </c>
      <c r="Q230" s="301"/>
      <c r="S230" s="302">
        <f t="shared" si="11"/>
        <v>0</v>
      </c>
    </row>
    <row r="231" spans="1:19" ht="14.15" customHeight="1">
      <c r="A231" s="71">
        <v>231</v>
      </c>
      <c r="B231" s="67" t="s">
        <v>712</v>
      </c>
      <c r="C231" s="467" t="s">
        <v>620</v>
      </c>
      <c r="D231" s="467" t="s">
        <v>720</v>
      </c>
      <c r="E231" s="67" t="s">
        <v>713</v>
      </c>
      <c r="F231" s="67" t="s">
        <v>250</v>
      </c>
      <c r="G231" s="67" t="s">
        <v>514</v>
      </c>
      <c r="H231" s="67" t="s">
        <v>37</v>
      </c>
      <c r="I231" s="67" t="s">
        <v>601</v>
      </c>
      <c r="J231" s="67" t="s">
        <v>179</v>
      </c>
      <c r="K231" s="67">
        <v>7.9</v>
      </c>
      <c r="L231" s="299">
        <f t="shared" si="10"/>
        <v>0</v>
      </c>
      <c r="M231" s="221" t="s">
        <v>631</v>
      </c>
      <c r="N231" s="220">
        <f>IF(OR(M231="nio",M231="eigen dienst"),0,IF(M231&gt;0,M231*K231/O231,0))*VLOOKUP(B231,'2-Kosten per locatie'!$A$14:$C$33,3,FALSE)</f>
        <v>0</v>
      </c>
      <c r="O231" s="300">
        <f>IF(OR(M231="nio",M231="eigen dienst"),0,IF(M231&gt;0,VLOOKUP(H231,'3-Productie normen'!A:J,VLOOKUP(M231,'3-Productie normen'!$B$34:$C$35,2,FALSE),FALSE)))</f>
        <v>0</v>
      </c>
      <c r="P231" s="301" t="str">
        <f>VLOOKUP(H231,'3-Productie normen'!A:L,12,FALSE)</f>
        <v>S</v>
      </c>
      <c r="Q231" s="301"/>
      <c r="S231" s="302">
        <f t="shared" si="11"/>
        <v>0</v>
      </c>
    </row>
    <row r="232" spans="1:19" ht="14.15" customHeight="1">
      <c r="A232" s="71">
        <v>232</v>
      </c>
      <c r="B232" s="67" t="s">
        <v>712</v>
      </c>
      <c r="C232" s="467" t="s">
        <v>620</v>
      </c>
      <c r="D232" s="467" t="s">
        <v>720</v>
      </c>
      <c r="E232" s="67" t="s">
        <v>713</v>
      </c>
      <c r="F232" s="67" t="s">
        <v>251</v>
      </c>
      <c r="G232" s="67" t="s">
        <v>536</v>
      </c>
      <c r="H232" s="67" t="s">
        <v>39</v>
      </c>
      <c r="I232" s="67" t="s">
        <v>70</v>
      </c>
      <c r="J232" s="67" t="s">
        <v>70</v>
      </c>
      <c r="K232" s="67">
        <v>7.9</v>
      </c>
      <c r="L232" s="299">
        <f t="shared" si="10"/>
        <v>0</v>
      </c>
      <c r="M232" s="221" t="s">
        <v>631</v>
      </c>
      <c r="N232" s="220">
        <f>IF(OR(M232="nio",M232="eigen dienst"),0,IF(M232&gt;0,M232*K232/O232,0))*VLOOKUP(B232,'2-Kosten per locatie'!$A$14:$C$33,3,FALSE)</f>
        <v>0</v>
      </c>
      <c r="O232" s="300">
        <f>IF(OR(M232="nio",M232="eigen dienst"),0,IF(M232&gt;0,VLOOKUP(H232,'3-Productie normen'!A:J,VLOOKUP(M232,'3-Productie normen'!$B$34:$C$35,2,FALSE),FALSE)))</f>
        <v>0</v>
      </c>
      <c r="P232" s="301" t="str">
        <f>VLOOKUP(H232,'3-Productie normen'!A:L,12,FALSE)</f>
        <v>V</v>
      </c>
      <c r="Q232" s="301"/>
      <c r="S232" s="302">
        <f t="shared" si="11"/>
        <v>0</v>
      </c>
    </row>
    <row r="233" spans="1:19" ht="14.15" customHeight="1">
      <c r="A233" s="71">
        <v>233</v>
      </c>
      <c r="B233" s="67" t="s">
        <v>712</v>
      </c>
      <c r="C233" s="467" t="s">
        <v>620</v>
      </c>
      <c r="D233" s="467" t="s">
        <v>720</v>
      </c>
      <c r="E233" s="67" t="s">
        <v>713</v>
      </c>
      <c r="F233" s="67" t="s">
        <v>252</v>
      </c>
      <c r="G233" s="67" t="s">
        <v>515</v>
      </c>
      <c r="H233" s="67" t="s">
        <v>609</v>
      </c>
      <c r="I233" s="67" t="s">
        <v>70</v>
      </c>
      <c r="J233" s="67" t="s">
        <v>70</v>
      </c>
      <c r="K233" s="67">
        <v>70.8</v>
      </c>
      <c r="L233" s="299">
        <f t="shared" si="10"/>
        <v>0</v>
      </c>
      <c r="M233" s="221" t="s">
        <v>631</v>
      </c>
      <c r="N233" s="220">
        <f>IF(OR(M233="nio",M233="eigen dienst"),0,IF(M233&gt;0,M233*K233/O233,0))*VLOOKUP(B233,'2-Kosten per locatie'!$A$14:$C$33,3,FALSE)</f>
        <v>0</v>
      </c>
      <c r="O233" s="300">
        <f>IF(OR(M233="nio",M233="eigen dienst"),0,IF(M233&gt;0,VLOOKUP(H233,'3-Productie normen'!A:J,VLOOKUP(M233,'3-Productie normen'!$B$34:$C$35,2,FALSE),FALSE)))</f>
        <v>0</v>
      </c>
      <c r="P233" s="301" t="str">
        <f>VLOOKUP(H233,'3-Productie normen'!A:L,12,FALSE)</f>
        <v>L</v>
      </c>
      <c r="Q233" s="301"/>
      <c r="S233" s="302">
        <f t="shared" si="11"/>
        <v>0</v>
      </c>
    </row>
    <row r="234" spans="1:19" ht="14.15" customHeight="1">
      <c r="A234" s="71">
        <v>234</v>
      </c>
      <c r="B234" s="67" t="s">
        <v>712</v>
      </c>
      <c r="C234" s="467" t="s">
        <v>620</v>
      </c>
      <c r="D234" s="467" t="s">
        <v>720</v>
      </c>
      <c r="E234" s="67" t="s">
        <v>713</v>
      </c>
      <c r="F234" s="67" t="s">
        <v>253</v>
      </c>
      <c r="G234" s="67" t="s">
        <v>515</v>
      </c>
      <c r="H234" s="67" t="s">
        <v>609</v>
      </c>
      <c r="I234" s="67" t="s">
        <v>70</v>
      </c>
      <c r="J234" s="67" t="s">
        <v>70</v>
      </c>
      <c r="K234" s="67">
        <v>70.8</v>
      </c>
      <c r="L234" s="299">
        <f t="shared" si="10"/>
        <v>0</v>
      </c>
      <c r="M234" s="221" t="s">
        <v>631</v>
      </c>
      <c r="N234" s="220">
        <f>IF(OR(M234="nio",M234="eigen dienst"),0,IF(M234&gt;0,M234*K234/O234,0))*VLOOKUP(B234,'2-Kosten per locatie'!$A$14:$C$33,3,FALSE)</f>
        <v>0</v>
      </c>
      <c r="O234" s="300">
        <f>IF(OR(M234="nio",M234="eigen dienst"),0,IF(M234&gt;0,VLOOKUP(H234,'3-Productie normen'!A:J,VLOOKUP(M234,'3-Productie normen'!$B$34:$C$35,2,FALSE),FALSE)))</f>
        <v>0</v>
      </c>
      <c r="P234" s="301" t="str">
        <f>VLOOKUP(H234,'3-Productie normen'!A:L,12,FALSE)</f>
        <v>L</v>
      </c>
      <c r="Q234" s="301"/>
      <c r="S234" s="302">
        <f t="shared" si="11"/>
        <v>0</v>
      </c>
    </row>
    <row r="235" spans="1:19" ht="14.15" customHeight="1">
      <c r="A235" s="71">
        <v>235</v>
      </c>
      <c r="B235" s="67" t="s">
        <v>712</v>
      </c>
      <c r="C235" s="467" t="s">
        <v>620</v>
      </c>
      <c r="D235" s="467" t="s">
        <v>720</v>
      </c>
      <c r="E235" s="67" t="s">
        <v>713</v>
      </c>
      <c r="F235" s="67" t="s">
        <v>254</v>
      </c>
      <c r="G235" s="67" t="s">
        <v>514</v>
      </c>
      <c r="H235" s="67" t="s">
        <v>37</v>
      </c>
      <c r="I235" s="67" t="s">
        <v>601</v>
      </c>
      <c r="J235" s="67" t="s">
        <v>179</v>
      </c>
      <c r="K235" s="67">
        <v>1</v>
      </c>
      <c r="L235" s="299">
        <f t="shared" si="10"/>
        <v>0</v>
      </c>
      <c r="M235" s="221" t="s">
        <v>631</v>
      </c>
      <c r="N235" s="220">
        <f>IF(OR(M235="nio",M235="eigen dienst"),0,IF(M235&gt;0,M235*K235/O235,0))*VLOOKUP(B235,'2-Kosten per locatie'!$A$14:$C$33,3,FALSE)</f>
        <v>0</v>
      </c>
      <c r="O235" s="300">
        <f>IF(OR(M235="nio",M235="eigen dienst"),0,IF(M235&gt;0,VLOOKUP(H235,'3-Productie normen'!A:J,VLOOKUP(M235,'3-Productie normen'!$B$34:$C$35,2,FALSE),FALSE)))</f>
        <v>0</v>
      </c>
      <c r="P235" s="301" t="str">
        <f>VLOOKUP(H235,'3-Productie normen'!A:L,12,FALSE)</f>
        <v>S</v>
      </c>
      <c r="Q235" s="301"/>
      <c r="S235" s="302">
        <f t="shared" si="11"/>
        <v>0</v>
      </c>
    </row>
    <row r="236" spans="1:19" ht="14.15" customHeight="1">
      <c r="A236" s="71">
        <v>236</v>
      </c>
      <c r="B236" s="67" t="s">
        <v>712</v>
      </c>
      <c r="C236" s="467" t="s">
        <v>620</v>
      </c>
      <c r="D236" s="467" t="s">
        <v>720</v>
      </c>
      <c r="E236" s="67" t="s">
        <v>713</v>
      </c>
      <c r="F236" s="67" t="s">
        <v>255</v>
      </c>
      <c r="G236" s="67" t="s">
        <v>562</v>
      </c>
      <c r="H236" s="67" t="s">
        <v>44</v>
      </c>
      <c r="I236" s="67" t="s">
        <v>70</v>
      </c>
      <c r="J236" s="67" t="s">
        <v>70</v>
      </c>
      <c r="K236" s="67">
        <v>3.6</v>
      </c>
      <c r="L236" s="299">
        <f t="shared" si="10"/>
        <v>0</v>
      </c>
      <c r="M236" s="221" t="s">
        <v>631</v>
      </c>
      <c r="N236" s="220">
        <f>IF(OR(M236="nio",M236="eigen dienst"),0,IF(M236&gt;0,M236*K236/O236,0))*VLOOKUP(B236,'2-Kosten per locatie'!$A$14:$C$33,3,FALSE)</f>
        <v>0</v>
      </c>
      <c r="O236" s="300">
        <f>IF(OR(M236="nio",M236="eigen dienst"),0,IF(M236&gt;0,VLOOKUP(H236,'3-Productie normen'!A:J,VLOOKUP(M236,'3-Productie normen'!$B$34:$C$35,2,FALSE),FALSE)))</f>
        <v>0</v>
      </c>
      <c r="P236" s="301" t="str">
        <f>VLOOKUP(H236,'3-Productie normen'!A:L,12,FALSE)</f>
        <v>V</v>
      </c>
      <c r="Q236" s="301"/>
      <c r="S236" s="302">
        <f t="shared" si="11"/>
        <v>0</v>
      </c>
    </row>
    <row r="237" spans="1:19" ht="14.15" customHeight="1">
      <c r="A237" s="71">
        <v>237</v>
      </c>
      <c r="B237" s="67" t="s">
        <v>712</v>
      </c>
      <c r="C237" s="467" t="s">
        <v>620</v>
      </c>
      <c r="D237" s="467" t="s">
        <v>720</v>
      </c>
      <c r="E237" s="67" t="s">
        <v>713</v>
      </c>
      <c r="F237" s="67" t="s">
        <v>256</v>
      </c>
      <c r="G237" s="67" t="s">
        <v>536</v>
      </c>
      <c r="H237" s="67" t="s">
        <v>39</v>
      </c>
      <c r="I237" s="67" t="s">
        <v>70</v>
      </c>
      <c r="J237" s="67" t="s">
        <v>70</v>
      </c>
      <c r="K237" s="67">
        <v>7</v>
      </c>
      <c r="L237" s="299">
        <f t="shared" si="10"/>
        <v>0</v>
      </c>
      <c r="M237" s="221" t="s">
        <v>631</v>
      </c>
      <c r="N237" s="220">
        <f>IF(OR(M237="nio",M237="eigen dienst"),0,IF(M237&gt;0,M237*K237/O237,0))*VLOOKUP(B237,'2-Kosten per locatie'!$A$14:$C$33,3,FALSE)</f>
        <v>0</v>
      </c>
      <c r="O237" s="300">
        <f>IF(OR(M237="nio",M237="eigen dienst"),0,IF(M237&gt;0,VLOOKUP(H237,'3-Productie normen'!A:J,VLOOKUP(M237,'3-Productie normen'!$B$34:$C$35,2,FALSE),FALSE)))</f>
        <v>0</v>
      </c>
      <c r="P237" s="301" t="str">
        <f>VLOOKUP(H237,'3-Productie normen'!A:L,12,FALSE)</f>
        <v>V</v>
      </c>
      <c r="Q237" s="301"/>
      <c r="S237" s="302">
        <f t="shared" si="11"/>
        <v>0</v>
      </c>
    </row>
    <row r="238" spans="1:19" ht="14.15" customHeight="1">
      <c r="A238" s="71">
        <v>238</v>
      </c>
      <c r="B238" s="67" t="s">
        <v>712</v>
      </c>
      <c r="C238" s="467" t="s">
        <v>620</v>
      </c>
      <c r="D238" s="467" t="s">
        <v>720</v>
      </c>
      <c r="E238" s="67" t="s">
        <v>713</v>
      </c>
      <c r="F238" s="67" t="s">
        <v>257</v>
      </c>
      <c r="G238" s="67" t="s">
        <v>518</v>
      </c>
      <c r="H238" s="67" t="s">
        <v>44</v>
      </c>
      <c r="I238" s="67" t="s">
        <v>598</v>
      </c>
      <c r="J238" s="67" t="s">
        <v>200</v>
      </c>
      <c r="K238" s="67">
        <v>10</v>
      </c>
      <c r="L238" s="299">
        <f t="shared" si="10"/>
        <v>0</v>
      </c>
      <c r="M238" s="221" t="s">
        <v>631</v>
      </c>
      <c r="N238" s="220">
        <f>IF(OR(M238="nio",M238="eigen dienst"),0,IF(M238&gt;0,M238*K238/O238,0))*VLOOKUP(B238,'2-Kosten per locatie'!$A$14:$C$33,3,FALSE)</f>
        <v>0</v>
      </c>
      <c r="O238" s="300">
        <f>IF(OR(M238="nio",M238="eigen dienst"),0,IF(M238&gt;0,VLOOKUP(H238,'3-Productie normen'!A:J,VLOOKUP(M238,'3-Productie normen'!$B$34:$C$35,2,FALSE),FALSE)))</f>
        <v>0</v>
      </c>
      <c r="P238" s="301" t="str">
        <f>VLOOKUP(H238,'3-Productie normen'!A:L,12,FALSE)</f>
        <v>V</v>
      </c>
      <c r="Q238" s="301"/>
      <c r="S238" s="302">
        <f t="shared" si="11"/>
        <v>0</v>
      </c>
    </row>
    <row r="239" spans="1:19" ht="14.15" customHeight="1">
      <c r="A239" s="71">
        <v>239</v>
      </c>
      <c r="B239" s="67" t="s">
        <v>712</v>
      </c>
      <c r="C239" s="467" t="s">
        <v>620</v>
      </c>
      <c r="D239" s="467" t="s">
        <v>720</v>
      </c>
      <c r="E239" s="67" t="s">
        <v>713</v>
      </c>
      <c r="F239" s="67" t="s">
        <v>223</v>
      </c>
      <c r="G239" s="67" t="s">
        <v>515</v>
      </c>
      <c r="H239" s="67" t="s">
        <v>609</v>
      </c>
      <c r="I239" s="67" t="s">
        <v>70</v>
      </c>
      <c r="J239" s="56" t="s">
        <v>70</v>
      </c>
      <c r="K239" s="67">
        <v>69</v>
      </c>
      <c r="L239" s="299">
        <f t="shared" si="10"/>
        <v>0</v>
      </c>
      <c r="M239" s="221" t="s">
        <v>631</v>
      </c>
      <c r="N239" s="220">
        <f>IF(OR(M239="nio",M239="eigen dienst"),0,IF(M239&gt;0,M239*K239/O239,0))*VLOOKUP(B239,'2-Kosten per locatie'!$A$14:$C$33,3,FALSE)</f>
        <v>0</v>
      </c>
      <c r="O239" s="300">
        <f>IF(OR(M239="nio",M239="eigen dienst"),0,IF(M239&gt;0,VLOOKUP(H239,'3-Productie normen'!A:J,VLOOKUP(M239,'3-Productie normen'!$B$34:$C$35,2,FALSE),FALSE)))</f>
        <v>0</v>
      </c>
      <c r="P239" s="301" t="str">
        <f>VLOOKUP(H239,'3-Productie normen'!A:L,12,FALSE)</f>
        <v>L</v>
      </c>
      <c r="Q239" s="301"/>
      <c r="S239" s="302">
        <f t="shared" si="11"/>
        <v>0</v>
      </c>
    </row>
    <row r="240" spans="1:19" ht="14.15" customHeight="1">
      <c r="A240" s="71">
        <v>240</v>
      </c>
      <c r="B240" s="67" t="s">
        <v>712</v>
      </c>
      <c r="C240" s="467" t="s">
        <v>620</v>
      </c>
      <c r="D240" s="467" t="s">
        <v>720</v>
      </c>
      <c r="E240" s="67" t="s">
        <v>713</v>
      </c>
      <c r="F240" s="67" t="s">
        <v>258</v>
      </c>
      <c r="G240" s="67" t="s">
        <v>47</v>
      </c>
      <c r="H240" s="67" t="s">
        <v>47</v>
      </c>
      <c r="I240" s="67" t="s">
        <v>597</v>
      </c>
      <c r="J240" s="67" t="s">
        <v>201</v>
      </c>
      <c r="K240" s="67">
        <v>6.5</v>
      </c>
      <c r="L240" s="299">
        <f t="shared" si="10"/>
        <v>0</v>
      </c>
      <c r="M240" s="221" t="s">
        <v>631</v>
      </c>
      <c r="N240" s="220">
        <f>IF(OR(M240="nio",M240="eigen dienst"),0,IF(M240&gt;0,M240*K240/O240,0))*VLOOKUP(B240,'2-Kosten per locatie'!$A$14:$C$33,3,FALSE)</f>
        <v>0</v>
      </c>
      <c r="O240" s="300">
        <f>IF(OR(M240="nio",M240="eigen dienst"),0,IF(M240&gt;0,VLOOKUP(H240,'3-Productie normen'!A:J,VLOOKUP(M240,'3-Productie normen'!$B$34:$C$35,2,FALSE),FALSE)))</f>
        <v>0</v>
      </c>
      <c r="P240" s="301" t="str">
        <f>VLOOKUP(H240,'3-Productie normen'!A:L,12,FALSE)</f>
        <v>V</v>
      </c>
      <c r="Q240" s="301"/>
      <c r="S240" s="302">
        <f t="shared" si="11"/>
        <v>0</v>
      </c>
    </row>
    <row r="241" spans="1:20" ht="14.15" customHeight="1">
      <c r="A241" s="71">
        <v>241</v>
      </c>
      <c r="B241" s="67" t="s">
        <v>712</v>
      </c>
      <c r="C241" s="467" t="s">
        <v>620</v>
      </c>
      <c r="D241" s="467" t="s">
        <v>720</v>
      </c>
      <c r="E241" s="67" t="s">
        <v>713</v>
      </c>
      <c r="F241" s="67" t="s">
        <v>259</v>
      </c>
      <c r="G241" s="67" t="s">
        <v>578</v>
      </c>
      <c r="H241" s="67" t="s">
        <v>39</v>
      </c>
      <c r="I241" s="67" t="s">
        <v>70</v>
      </c>
      <c r="J241" s="67" t="s">
        <v>70</v>
      </c>
      <c r="K241" s="67">
        <v>56.5</v>
      </c>
      <c r="L241" s="299">
        <f t="shared" si="10"/>
        <v>0</v>
      </c>
      <c r="M241" s="221" t="s">
        <v>631</v>
      </c>
      <c r="N241" s="220">
        <f>IF(OR(M241="nio",M241="eigen dienst"),0,IF(M241&gt;0,M241*K241/O241,0))*VLOOKUP(B241,'2-Kosten per locatie'!$A$14:$C$33,3,FALSE)</f>
        <v>0</v>
      </c>
      <c r="O241" s="300">
        <f>IF(OR(M241="nio",M241="eigen dienst"),0,IF(M241&gt;0,VLOOKUP(H241,'3-Productie normen'!A:J,VLOOKUP(M241,'3-Productie normen'!$B$34:$C$35,2,FALSE),FALSE)))</f>
        <v>0</v>
      </c>
      <c r="P241" s="301" t="str">
        <f>VLOOKUP(H241,'3-Productie normen'!A:L,12,FALSE)</f>
        <v>V</v>
      </c>
      <c r="Q241" s="301"/>
      <c r="S241" s="302">
        <f t="shared" si="11"/>
        <v>0</v>
      </c>
    </row>
    <row r="242" spans="1:20" ht="14.15" customHeight="1">
      <c r="A242" s="71">
        <v>242</v>
      </c>
      <c r="B242" s="67" t="s">
        <v>712</v>
      </c>
      <c r="C242" s="467" t="s">
        <v>620</v>
      </c>
      <c r="D242" s="467" t="s">
        <v>720</v>
      </c>
      <c r="E242" s="67" t="s">
        <v>713</v>
      </c>
      <c r="F242" s="67" t="s">
        <v>260</v>
      </c>
      <c r="G242" s="67" t="s">
        <v>518</v>
      </c>
      <c r="H242" s="67" t="s">
        <v>44</v>
      </c>
      <c r="I242" s="67" t="s">
        <v>70</v>
      </c>
      <c r="J242" s="67" t="s">
        <v>70</v>
      </c>
      <c r="K242" s="67">
        <v>11.3</v>
      </c>
      <c r="L242" s="299">
        <f t="shared" si="10"/>
        <v>0</v>
      </c>
      <c r="M242" s="221" t="s">
        <v>631</v>
      </c>
      <c r="N242" s="220">
        <f>IF(OR(M242="nio",M242="eigen dienst"),0,IF(M242&gt;0,M242*K242/O242,0))*VLOOKUP(B242,'2-Kosten per locatie'!$A$14:$C$33,3,FALSE)</f>
        <v>0</v>
      </c>
      <c r="O242" s="300">
        <f>IF(OR(M242="nio",M242="eigen dienst"),0,IF(M242&gt;0,VLOOKUP(H242,'3-Productie normen'!A:J,VLOOKUP(M242,'3-Productie normen'!$B$34:$C$35,2,FALSE),FALSE)))</f>
        <v>0</v>
      </c>
      <c r="P242" s="301" t="str">
        <f>VLOOKUP(H242,'3-Productie normen'!A:L,12,FALSE)</f>
        <v>V</v>
      </c>
      <c r="Q242" s="301"/>
      <c r="S242" s="302">
        <f t="shared" si="11"/>
        <v>0</v>
      </c>
    </row>
    <row r="243" spans="1:20" ht="14.15" customHeight="1">
      <c r="A243" s="71">
        <v>243</v>
      </c>
      <c r="B243" s="67" t="s">
        <v>712</v>
      </c>
      <c r="C243" s="467" t="s">
        <v>620</v>
      </c>
      <c r="D243" s="467" t="s">
        <v>720</v>
      </c>
      <c r="E243" s="67" t="s">
        <v>713</v>
      </c>
      <c r="F243" s="67" t="s">
        <v>261</v>
      </c>
      <c r="G243" s="67" t="s">
        <v>515</v>
      </c>
      <c r="H243" s="67" t="s">
        <v>609</v>
      </c>
      <c r="I243" s="67" t="s">
        <v>70</v>
      </c>
      <c r="J243" s="67" t="s">
        <v>70</v>
      </c>
      <c r="K243" s="67">
        <v>56.3</v>
      </c>
      <c r="L243" s="299">
        <f t="shared" si="10"/>
        <v>0</v>
      </c>
      <c r="M243" s="221" t="s">
        <v>631</v>
      </c>
      <c r="N243" s="220">
        <f>IF(OR(M243="nio",M243="eigen dienst"),0,IF(M243&gt;0,M243*K243/O243,0))*VLOOKUP(B243,'2-Kosten per locatie'!$A$14:$C$33,3,FALSE)</f>
        <v>0</v>
      </c>
      <c r="O243" s="300">
        <f>IF(OR(M243="nio",M243="eigen dienst"),0,IF(M243&gt;0,VLOOKUP(H243,'3-Productie normen'!A:J,VLOOKUP(M243,'3-Productie normen'!$B$34:$C$35,2,FALSE),FALSE)))</f>
        <v>0</v>
      </c>
      <c r="P243" s="301" t="str">
        <f>VLOOKUP(H243,'3-Productie normen'!A:L,12,FALSE)</f>
        <v>L</v>
      </c>
      <c r="Q243" s="301"/>
      <c r="S243" s="302">
        <f t="shared" si="11"/>
        <v>0</v>
      </c>
    </row>
    <row r="244" spans="1:20" ht="14.15" customHeight="1">
      <c r="A244" s="71">
        <v>244</v>
      </c>
      <c r="B244" s="67" t="s">
        <v>712</v>
      </c>
      <c r="C244" s="467" t="s">
        <v>620</v>
      </c>
      <c r="D244" s="467" t="s">
        <v>720</v>
      </c>
      <c r="E244" s="67" t="s">
        <v>713</v>
      </c>
      <c r="F244" s="67" t="s">
        <v>262</v>
      </c>
      <c r="G244" s="67" t="s">
        <v>515</v>
      </c>
      <c r="H244" s="67" t="s">
        <v>609</v>
      </c>
      <c r="I244" s="67" t="s">
        <v>70</v>
      </c>
      <c r="J244" s="67" t="s">
        <v>70</v>
      </c>
      <c r="K244" s="67">
        <v>56</v>
      </c>
      <c r="L244" s="299">
        <f t="shared" si="10"/>
        <v>0</v>
      </c>
      <c r="M244" s="221" t="s">
        <v>631</v>
      </c>
      <c r="N244" s="220">
        <f>IF(OR(M244="nio",M244="eigen dienst"),0,IF(M244&gt;0,M244*K244/O244,0))*VLOOKUP(B244,'2-Kosten per locatie'!$A$14:$C$33,3,FALSE)</f>
        <v>0</v>
      </c>
      <c r="O244" s="300">
        <f>IF(OR(M244="nio",M244="eigen dienst"),0,IF(M244&gt;0,VLOOKUP(H244,'3-Productie normen'!A:J,VLOOKUP(M244,'3-Productie normen'!$B$34:$C$35,2,FALSE),FALSE)))</f>
        <v>0</v>
      </c>
      <c r="P244" s="301" t="str">
        <f>VLOOKUP(H244,'3-Productie normen'!A:L,12,FALSE)</f>
        <v>L</v>
      </c>
      <c r="Q244" s="301"/>
      <c r="S244" s="302">
        <f t="shared" si="11"/>
        <v>0</v>
      </c>
    </row>
    <row r="245" spans="1:20" ht="14.15" customHeight="1">
      <c r="A245" s="71">
        <v>245</v>
      </c>
      <c r="B245" s="67" t="s">
        <v>712</v>
      </c>
      <c r="C245" s="467" t="s">
        <v>620</v>
      </c>
      <c r="D245" s="467" t="s">
        <v>720</v>
      </c>
      <c r="E245" s="67" t="s">
        <v>713</v>
      </c>
      <c r="F245" s="67" t="s">
        <v>263</v>
      </c>
      <c r="G245" s="67" t="s">
        <v>514</v>
      </c>
      <c r="H245" s="67" t="s">
        <v>37</v>
      </c>
      <c r="I245" s="67" t="s">
        <v>70</v>
      </c>
      <c r="J245" s="67" t="s">
        <v>70</v>
      </c>
      <c r="K245" s="67">
        <v>7.4</v>
      </c>
      <c r="L245" s="299">
        <f t="shared" si="10"/>
        <v>0</v>
      </c>
      <c r="M245" s="221" t="s">
        <v>631</v>
      </c>
      <c r="N245" s="220">
        <f>IF(OR(M245="nio",M245="eigen dienst"),0,IF(M245&gt;0,M245*K245/O245,0))*VLOOKUP(B245,'2-Kosten per locatie'!$A$14:$C$33,3,FALSE)</f>
        <v>0</v>
      </c>
      <c r="O245" s="300">
        <f>IF(OR(M245="nio",M245="eigen dienst"),0,IF(M245&gt;0,VLOOKUP(H245,'3-Productie normen'!A:J,VLOOKUP(M245,'3-Productie normen'!$B$34:$C$35,2,FALSE),FALSE)))</f>
        <v>0</v>
      </c>
      <c r="P245" s="301" t="str">
        <f>VLOOKUP(H245,'3-Productie normen'!A:L,12,FALSE)</f>
        <v>S</v>
      </c>
      <c r="Q245" s="301"/>
      <c r="S245" s="302">
        <f t="shared" si="11"/>
        <v>0</v>
      </c>
    </row>
    <row r="246" spans="1:20" ht="14.15" customHeight="1">
      <c r="A246" s="71">
        <v>246</v>
      </c>
      <c r="B246" s="67" t="s">
        <v>712</v>
      </c>
      <c r="C246" s="467" t="s">
        <v>620</v>
      </c>
      <c r="D246" s="467" t="s">
        <v>720</v>
      </c>
      <c r="E246" s="67" t="s">
        <v>713</v>
      </c>
      <c r="F246" s="67" t="s">
        <v>265</v>
      </c>
      <c r="G246" s="67" t="s">
        <v>515</v>
      </c>
      <c r="H246" s="67" t="s">
        <v>609</v>
      </c>
      <c r="I246" s="67" t="s">
        <v>70</v>
      </c>
      <c r="J246" s="67" t="s">
        <v>70</v>
      </c>
      <c r="K246" s="67">
        <v>69</v>
      </c>
      <c r="L246" s="299">
        <f t="shared" si="10"/>
        <v>0</v>
      </c>
      <c r="M246" s="221" t="s">
        <v>631</v>
      </c>
      <c r="N246" s="220">
        <f>IF(OR(M246="nio",M246="eigen dienst"),0,IF(M246&gt;0,M246*K246/O246,0))*VLOOKUP(B246,'2-Kosten per locatie'!$A$14:$C$33,3,FALSE)</f>
        <v>0</v>
      </c>
      <c r="O246" s="300">
        <f>IF(OR(M246="nio",M246="eigen dienst"),0,IF(M246&gt;0,VLOOKUP(H246,'3-Productie normen'!A:J,VLOOKUP(M246,'3-Productie normen'!$B$34:$C$35,2,FALSE),FALSE)))</f>
        <v>0</v>
      </c>
      <c r="P246" s="301" t="str">
        <f>VLOOKUP(H246,'3-Productie normen'!A:L,12,FALSE)</f>
        <v>L</v>
      </c>
      <c r="Q246" s="301"/>
      <c r="S246" s="302">
        <f t="shared" si="11"/>
        <v>0</v>
      </c>
    </row>
    <row r="247" spans="1:20" ht="14.15" customHeight="1">
      <c r="A247" s="71">
        <v>247</v>
      </c>
      <c r="B247" s="67" t="s">
        <v>712</v>
      </c>
      <c r="C247" s="467" t="s">
        <v>620</v>
      </c>
      <c r="D247" s="467" t="s">
        <v>720</v>
      </c>
      <c r="E247" s="67" t="s">
        <v>713</v>
      </c>
      <c r="F247" s="67" t="s">
        <v>224</v>
      </c>
      <c r="G247" s="67" t="s">
        <v>515</v>
      </c>
      <c r="H247" s="67" t="s">
        <v>609</v>
      </c>
      <c r="I247" s="67" t="s">
        <v>70</v>
      </c>
      <c r="J247" s="67" t="s">
        <v>70</v>
      </c>
      <c r="K247" s="67">
        <v>69</v>
      </c>
      <c r="L247" s="299">
        <f t="shared" si="10"/>
        <v>0</v>
      </c>
      <c r="M247" s="221" t="s">
        <v>631</v>
      </c>
      <c r="N247" s="220">
        <f>IF(OR(M247="nio",M247="eigen dienst"),0,IF(M247&gt;0,M247*K247/O247,0))*VLOOKUP(B247,'2-Kosten per locatie'!$A$14:$C$33,3,FALSE)</f>
        <v>0</v>
      </c>
      <c r="O247" s="300">
        <f>IF(OR(M247="nio",M247="eigen dienst"),0,IF(M247&gt;0,VLOOKUP(H247,'3-Productie normen'!A:J,VLOOKUP(M247,'3-Productie normen'!$B$34:$C$35,2,FALSE),FALSE)))</f>
        <v>0</v>
      </c>
      <c r="P247" s="301" t="str">
        <f>VLOOKUP(H247,'3-Productie normen'!A:L,12,FALSE)</f>
        <v>L</v>
      </c>
      <c r="Q247" s="301"/>
      <c r="S247" s="302">
        <f t="shared" si="11"/>
        <v>0</v>
      </c>
    </row>
    <row r="248" spans="1:20" ht="14.15" customHeight="1">
      <c r="A248" s="71">
        <v>248</v>
      </c>
      <c r="B248" s="67" t="s">
        <v>712</v>
      </c>
      <c r="C248" s="467" t="s">
        <v>620</v>
      </c>
      <c r="D248" s="467" t="s">
        <v>720</v>
      </c>
      <c r="E248" s="67" t="s">
        <v>713</v>
      </c>
      <c r="F248" s="67" t="s">
        <v>225</v>
      </c>
      <c r="G248" s="67" t="s">
        <v>515</v>
      </c>
      <c r="H248" s="67" t="s">
        <v>609</v>
      </c>
      <c r="I248" s="67" t="s">
        <v>70</v>
      </c>
      <c r="J248" s="67" t="s">
        <v>70</v>
      </c>
      <c r="K248" s="67">
        <v>69</v>
      </c>
      <c r="L248" s="299">
        <f t="shared" si="10"/>
        <v>0</v>
      </c>
      <c r="M248" s="221" t="s">
        <v>631</v>
      </c>
      <c r="N248" s="220">
        <f>IF(OR(M248="nio",M248="eigen dienst"),0,IF(M248&gt;0,M248*K248/O248,0))*VLOOKUP(B248,'2-Kosten per locatie'!$A$14:$C$33,3,FALSE)</f>
        <v>0</v>
      </c>
      <c r="O248" s="300">
        <f>IF(OR(M248="nio",M248="eigen dienst"),0,IF(M248&gt;0,VLOOKUP(H248,'3-Productie normen'!A:J,VLOOKUP(M248,'3-Productie normen'!$B$34:$C$35,2,FALSE),FALSE)))</f>
        <v>0</v>
      </c>
      <c r="P248" s="301" t="str">
        <f>VLOOKUP(H248,'3-Productie normen'!A:L,12,FALSE)</f>
        <v>L</v>
      </c>
      <c r="Q248" s="301"/>
      <c r="S248" s="302">
        <f t="shared" si="11"/>
        <v>0</v>
      </c>
    </row>
    <row r="249" spans="1:20" ht="14.15" customHeight="1">
      <c r="A249" s="71">
        <v>249</v>
      </c>
      <c r="B249" s="67" t="s">
        <v>712</v>
      </c>
      <c r="C249" s="467" t="s">
        <v>620</v>
      </c>
      <c r="D249" s="467" t="s">
        <v>720</v>
      </c>
      <c r="E249" s="67" t="s">
        <v>713</v>
      </c>
      <c r="F249" s="67" t="s">
        <v>226</v>
      </c>
      <c r="G249" s="67" t="s">
        <v>536</v>
      </c>
      <c r="H249" s="67" t="s">
        <v>39</v>
      </c>
      <c r="I249" s="67" t="s">
        <v>70</v>
      </c>
      <c r="J249" s="67" t="s">
        <v>70</v>
      </c>
      <c r="K249" s="67">
        <v>7.9</v>
      </c>
      <c r="L249" s="299">
        <f t="shared" si="10"/>
        <v>0</v>
      </c>
      <c r="M249" s="221" t="s">
        <v>631</v>
      </c>
      <c r="N249" s="220">
        <f>IF(OR(M249="nio",M249="eigen dienst"),0,IF(M249&gt;0,M249*K249/O249,0))*VLOOKUP(B249,'2-Kosten per locatie'!$A$14:$C$33,3,FALSE)</f>
        <v>0</v>
      </c>
      <c r="O249" s="300">
        <f>IF(OR(M249="nio",M249="eigen dienst"),0,IF(M249&gt;0,VLOOKUP(H249,'3-Productie normen'!A:J,VLOOKUP(M249,'3-Productie normen'!$B$34:$C$35,2,FALSE),FALSE)))</f>
        <v>0</v>
      </c>
      <c r="P249" s="301" t="str">
        <f>VLOOKUP(H249,'3-Productie normen'!A:L,12,FALSE)</f>
        <v>V</v>
      </c>
      <c r="Q249" s="301"/>
      <c r="S249" s="302">
        <f t="shared" si="11"/>
        <v>0</v>
      </c>
    </row>
    <row r="250" spans="1:20" ht="14.15" customHeight="1">
      <c r="A250" s="71">
        <v>250</v>
      </c>
      <c r="B250" s="67" t="s">
        <v>712</v>
      </c>
      <c r="C250" s="467" t="s">
        <v>620</v>
      </c>
      <c r="D250" s="467" t="s">
        <v>720</v>
      </c>
      <c r="E250" s="67" t="s">
        <v>713</v>
      </c>
      <c r="F250" s="67" t="s">
        <v>227</v>
      </c>
      <c r="G250" s="67" t="s">
        <v>514</v>
      </c>
      <c r="H250" s="67" t="s">
        <v>37</v>
      </c>
      <c r="I250" s="67" t="s">
        <v>601</v>
      </c>
      <c r="J250" s="67" t="s">
        <v>179</v>
      </c>
      <c r="K250" s="67">
        <v>7.9</v>
      </c>
      <c r="L250" s="299">
        <f t="shared" si="10"/>
        <v>0</v>
      </c>
      <c r="M250" s="221" t="s">
        <v>631</v>
      </c>
      <c r="N250" s="220">
        <f>IF(OR(M250="nio",M250="eigen dienst"),0,IF(M250&gt;0,M250*K250/O250,0))*VLOOKUP(B250,'2-Kosten per locatie'!$A$14:$C$33,3,FALSE)</f>
        <v>0</v>
      </c>
      <c r="O250" s="300">
        <f>IF(OR(M250="nio",M250="eigen dienst"),0,IF(M250&gt;0,VLOOKUP(H250,'3-Productie normen'!A:J,VLOOKUP(M250,'3-Productie normen'!$B$34:$C$35,2,FALSE),FALSE)))</f>
        <v>0</v>
      </c>
      <c r="P250" s="301" t="str">
        <f>VLOOKUP(H250,'3-Productie normen'!A:L,12,FALSE)</f>
        <v>S</v>
      </c>
      <c r="Q250" s="301"/>
      <c r="S250" s="302">
        <f t="shared" si="11"/>
        <v>0</v>
      </c>
    </row>
    <row r="251" spans="1:20" ht="14.15" customHeight="1">
      <c r="A251" s="71">
        <v>251</v>
      </c>
      <c r="B251" s="67" t="s">
        <v>211</v>
      </c>
      <c r="C251" s="467" t="s">
        <v>621</v>
      </c>
      <c r="D251" s="467" t="s">
        <v>720</v>
      </c>
      <c r="E251" s="67" t="s">
        <v>713</v>
      </c>
      <c r="F251" s="67" t="s">
        <v>220</v>
      </c>
      <c r="G251" s="67" t="s">
        <v>47</v>
      </c>
      <c r="H251" s="67" t="s">
        <v>47</v>
      </c>
      <c r="I251" s="67" t="s">
        <v>597</v>
      </c>
      <c r="J251" s="67" t="s">
        <v>201</v>
      </c>
      <c r="K251" s="67">
        <v>5.3</v>
      </c>
      <c r="L251" s="299">
        <f t="shared" si="10"/>
        <v>0</v>
      </c>
      <c r="M251" s="221" t="s">
        <v>631</v>
      </c>
      <c r="N251" s="220">
        <f>IF(OR(M251="nio",M251="eigen dienst"),0,IF(M251&gt;0,M251*K251/O251,0))*VLOOKUP(B251,'2-Kosten per locatie'!$A$14:$C$33,3,FALSE)</f>
        <v>0</v>
      </c>
      <c r="O251" s="300">
        <f>IF(OR(M251="nio",M251="eigen dienst"),0,IF(M251&gt;0,VLOOKUP(H251,'3-Productie normen'!A:J,VLOOKUP(M251,'3-Productie normen'!$B$34:$C$35,2,FALSE),FALSE)))</f>
        <v>0</v>
      </c>
      <c r="P251" s="301" t="str">
        <f>VLOOKUP(H251,'3-Productie normen'!A:L,12,FALSE)</f>
        <v>V</v>
      </c>
      <c r="Q251" s="301"/>
      <c r="S251" s="302">
        <f t="shared" si="11"/>
        <v>0</v>
      </c>
    </row>
    <row r="252" spans="1:20" ht="14.15" customHeight="1">
      <c r="A252" s="71">
        <v>252</v>
      </c>
      <c r="B252" s="67" t="s">
        <v>211</v>
      </c>
      <c r="C252" s="467" t="s">
        <v>621</v>
      </c>
      <c r="D252" s="467" t="s">
        <v>720</v>
      </c>
      <c r="E252" s="67" t="s">
        <v>713</v>
      </c>
      <c r="F252" s="67" t="s">
        <v>228</v>
      </c>
      <c r="G252" s="67" t="s">
        <v>514</v>
      </c>
      <c r="H252" s="67" t="s">
        <v>37</v>
      </c>
      <c r="I252" s="67" t="s">
        <v>601</v>
      </c>
      <c r="J252" s="67" t="s">
        <v>179</v>
      </c>
      <c r="K252" s="67">
        <v>8.6999999999999993</v>
      </c>
      <c r="L252" s="299">
        <f t="shared" si="10"/>
        <v>0</v>
      </c>
      <c r="M252" s="221" t="s">
        <v>631</v>
      </c>
      <c r="N252" s="220">
        <f>IF(OR(M252="nio",M252="eigen dienst"),0,IF(M252&gt;0,M252*K252/O252,0))*VLOOKUP(B252,'2-Kosten per locatie'!$A$14:$C$33,3,FALSE)</f>
        <v>0</v>
      </c>
      <c r="O252" s="300">
        <f>IF(OR(M252="nio",M252="eigen dienst"),0,IF(M252&gt;0,VLOOKUP(H252,'3-Productie normen'!A:J,VLOOKUP(M252,'3-Productie normen'!$B$34:$C$35,2,FALSE),FALSE)))</f>
        <v>0</v>
      </c>
      <c r="P252" s="301" t="str">
        <f>VLOOKUP(H252,'3-Productie normen'!A:L,12,FALSE)</f>
        <v>S</v>
      </c>
      <c r="Q252" s="301"/>
      <c r="S252" s="302">
        <f t="shared" si="11"/>
        <v>0</v>
      </c>
    </row>
    <row r="253" spans="1:20" ht="14.15" customHeight="1">
      <c r="A253" s="71">
        <v>253</v>
      </c>
      <c r="B253" s="67" t="s">
        <v>211</v>
      </c>
      <c r="C253" s="467" t="s">
        <v>621</v>
      </c>
      <c r="D253" s="467" t="s">
        <v>720</v>
      </c>
      <c r="E253" s="67" t="s">
        <v>713</v>
      </c>
      <c r="F253" s="67" t="s">
        <v>229</v>
      </c>
      <c r="G253" s="67" t="s">
        <v>512</v>
      </c>
      <c r="H253" s="67" t="s">
        <v>39</v>
      </c>
      <c r="I253" s="67" t="s">
        <v>70</v>
      </c>
      <c r="J253" s="67" t="s">
        <v>70</v>
      </c>
      <c r="K253" s="67">
        <v>13.7</v>
      </c>
      <c r="L253" s="299">
        <f t="shared" si="10"/>
        <v>0</v>
      </c>
      <c r="M253" s="221" t="s">
        <v>631</v>
      </c>
      <c r="N253" s="220">
        <f>IF(OR(M253="nio",M253="eigen dienst"),0,IF(M253&gt;0,M253*K253/O253,0))*VLOOKUP(B253,'2-Kosten per locatie'!$A$14:$C$33,3,FALSE)</f>
        <v>0</v>
      </c>
      <c r="O253" s="300">
        <f>IF(OR(M253="nio",M253="eigen dienst"),0,IF(M253&gt;0,VLOOKUP(H253,'3-Productie normen'!A:J,VLOOKUP(M253,'3-Productie normen'!$B$34:$C$35,2,FALSE),FALSE)))</f>
        <v>0</v>
      </c>
      <c r="P253" s="301" t="str">
        <f>VLOOKUP(H253,'3-Productie normen'!A:L,12,FALSE)</f>
        <v>V</v>
      </c>
      <c r="Q253" s="301"/>
      <c r="S253" s="302">
        <f t="shared" si="11"/>
        <v>0</v>
      </c>
    </row>
    <row r="254" spans="1:20" ht="14.15" customHeight="1">
      <c r="A254" s="71">
        <v>254</v>
      </c>
      <c r="B254" s="67" t="s">
        <v>211</v>
      </c>
      <c r="C254" s="467" t="s">
        <v>621</v>
      </c>
      <c r="D254" s="467" t="s">
        <v>720</v>
      </c>
      <c r="E254" s="67" t="s">
        <v>713</v>
      </c>
      <c r="F254" s="67" t="s">
        <v>230</v>
      </c>
      <c r="G254" s="67" t="s">
        <v>515</v>
      </c>
      <c r="H254" s="67" t="s">
        <v>609</v>
      </c>
      <c r="I254" s="67" t="s">
        <v>70</v>
      </c>
      <c r="J254" s="67" t="s">
        <v>70</v>
      </c>
      <c r="K254" s="67">
        <v>62.1</v>
      </c>
      <c r="L254" s="299">
        <f t="shared" si="10"/>
        <v>0</v>
      </c>
      <c r="M254" s="221" t="s">
        <v>631</v>
      </c>
      <c r="N254" s="220">
        <f>IF(OR(M254="nio",M254="eigen dienst"),0,IF(M254&gt;0,M254*K254/O254,0))*VLOOKUP(B254,'2-Kosten per locatie'!$A$14:$C$33,3,FALSE)</f>
        <v>0</v>
      </c>
      <c r="O254" s="300">
        <f>IF(OR(M254="nio",M254="eigen dienst"),0,IF(M254&gt;0,VLOOKUP(H254,'3-Productie normen'!A:J,VLOOKUP(M254,'3-Productie normen'!$B$34:$C$35,2,FALSE),FALSE)))</f>
        <v>0</v>
      </c>
      <c r="P254" s="301" t="str">
        <f>VLOOKUP(H254,'3-Productie normen'!A:L,12,FALSE)</f>
        <v>L</v>
      </c>
      <c r="Q254" s="301"/>
      <c r="S254" s="302">
        <f t="shared" si="11"/>
        <v>0</v>
      </c>
      <c r="T254" s="13"/>
    </row>
    <row r="255" spans="1:20" ht="14.15" customHeight="1">
      <c r="A255" s="71">
        <v>255</v>
      </c>
      <c r="B255" s="67" t="s">
        <v>211</v>
      </c>
      <c r="C255" s="467" t="s">
        <v>621</v>
      </c>
      <c r="D255" s="467" t="s">
        <v>720</v>
      </c>
      <c r="E255" s="67" t="s">
        <v>713</v>
      </c>
      <c r="F255" s="67" t="s">
        <v>231</v>
      </c>
      <c r="G255" s="67" t="s">
        <v>515</v>
      </c>
      <c r="H255" s="67" t="s">
        <v>609</v>
      </c>
      <c r="I255" s="67" t="s">
        <v>70</v>
      </c>
      <c r="J255" s="67" t="s">
        <v>70</v>
      </c>
      <c r="K255" s="67">
        <v>62.1</v>
      </c>
      <c r="L255" s="299">
        <f t="shared" si="10"/>
        <v>0</v>
      </c>
      <c r="M255" s="221" t="s">
        <v>631</v>
      </c>
      <c r="N255" s="220">
        <f>IF(OR(M255="nio",M255="eigen dienst"),0,IF(M255&gt;0,M255*K255/O255,0))*VLOOKUP(B255,'2-Kosten per locatie'!$A$14:$C$33,3,FALSE)</f>
        <v>0</v>
      </c>
      <c r="O255" s="300">
        <f>IF(OR(M255="nio",M255="eigen dienst"),0,IF(M255&gt;0,VLOOKUP(H255,'3-Productie normen'!A:J,VLOOKUP(M255,'3-Productie normen'!$B$34:$C$35,2,FALSE),FALSE)))</f>
        <v>0</v>
      </c>
      <c r="P255" s="301" t="str">
        <f>VLOOKUP(H255,'3-Productie normen'!A:L,12,FALSE)</f>
        <v>L</v>
      </c>
      <c r="Q255" s="301"/>
      <c r="S255" s="302">
        <f t="shared" si="11"/>
        <v>0</v>
      </c>
      <c r="T255" s="13"/>
    </row>
    <row r="256" spans="1:20" ht="14.15" customHeight="1">
      <c r="A256" s="71">
        <v>256</v>
      </c>
      <c r="B256" s="67" t="s">
        <v>211</v>
      </c>
      <c r="C256" s="467" t="s">
        <v>621</v>
      </c>
      <c r="D256" s="467" t="s">
        <v>720</v>
      </c>
      <c r="E256" s="67" t="s">
        <v>713</v>
      </c>
      <c r="F256" s="67" t="s">
        <v>232</v>
      </c>
      <c r="G256" s="67" t="s">
        <v>518</v>
      </c>
      <c r="H256" s="67" t="s">
        <v>44</v>
      </c>
      <c r="I256" s="67" t="s">
        <v>70</v>
      </c>
      <c r="J256" s="67" t="s">
        <v>70</v>
      </c>
      <c r="K256" s="67">
        <v>16.2</v>
      </c>
      <c r="L256" s="299">
        <f t="shared" si="10"/>
        <v>0</v>
      </c>
      <c r="M256" s="221" t="s">
        <v>631</v>
      </c>
      <c r="N256" s="220">
        <f>IF(OR(M256="nio",M256="eigen dienst"),0,IF(M256&gt;0,M256*K256/O256,0))*VLOOKUP(B256,'2-Kosten per locatie'!$A$14:$C$33,3,FALSE)</f>
        <v>0</v>
      </c>
      <c r="O256" s="300">
        <f>IF(OR(M256="nio",M256="eigen dienst"),0,IF(M256&gt;0,VLOOKUP(H256,'3-Productie normen'!A:J,VLOOKUP(M256,'3-Productie normen'!$B$34:$C$35,2,FALSE),FALSE)))</f>
        <v>0</v>
      </c>
      <c r="P256" s="301" t="str">
        <f>VLOOKUP(H256,'3-Productie normen'!A:L,12,FALSE)</f>
        <v>V</v>
      </c>
      <c r="Q256" s="301"/>
      <c r="S256" s="302">
        <f t="shared" si="11"/>
        <v>0</v>
      </c>
      <c r="T256" s="13"/>
    </row>
    <row r="257" spans="1:20" ht="14.15" customHeight="1">
      <c r="A257" s="71">
        <v>257</v>
      </c>
      <c r="B257" s="67" t="s">
        <v>211</v>
      </c>
      <c r="C257" s="467" t="s">
        <v>621</v>
      </c>
      <c r="D257" s="467" t="s">
        <v>720</v>
      </c>
      <c r="E257" s="67" t="s">
        <v>713</v>
      </c>
      <c r="F257" s="67" t="s">
        <v>233</v>
      </c>
      <c r="G257" s="67" t="s">
        <v>515</v>
      </c>
      <c r="H257" s="67" t="s">
        <v>609</v>
      </c>
      <c r="I257" s="67" t="s">
        <v>70</v>
      </c>
      <c r="J257" s="67" t="s">
        <v>70</v>
      </c>
      <c r="K257" s="67">
        <v>58.5</v>
      </c>
      <c r="L257" s="299">
        <f t="shared" si="10"/>
        <v>0</v>
      </c>
      <c r="M257" s="221" t="s">
        <v>631</v>
      </c>
      <c r="N257" s="220">
        <f>IF(OR(M257="nio",M257="eigen dienst"),0,IF(M257&gt;0,M257*K257/O257,0))*VLOOKUP(B257,'2-Kosten per locatie'!$A$14:$C$33,3,FALSE)</f>
        <v>0</v>
      </c>
      <c r="O257" s="300">
        <f>IF(OR(M257="nio",M257="eigen dienst"),0,IF(M257&gt;0,VLOOKUP(H257,'3-Productie normen'!A:J,VLOOKUP(M257,'3-Productie normen'!$B$34:$C$35,2,FALSE),FALSE)))</f>
        <v>0</v>
      </c>
      <c r="P257" s="301" t="str">
        <f>VLOOKUP(H257,'3-Productie normen'!A:L,12,FALSE)</f>
        <v>L</v>
      </c>
      <c r="Q257" s="301"/>
      <c r="S257" s="302">
        <f t="shared" si="11"/>
        <v>0</v>
      </c>
      <c r="T257" s="13"/>
    </row>
    <row r="258" spans="1:20" ht="14.15" customHeight="1">
      <c r="A258" s="71">
        <v>258</v>
      </c>
      <c r="B258" s="67" t="s">
        <v>211</v>
      </c>
      <c r="C258" s="467" t="s">
        <v>621</v>
      </c>
      <c r="D258" s="467" t="s">
        <v>720</v>
      </c>
      <c r="E258" s="67" t="s">
        <v>713</v>
      </c>
      <c r="F258" s="67" t="s">
        <v>234</v>
      </c>
      <c r="G258" s="67" t="s">
        <v>515</v>
      </c>
      <c r="H258" s="67" t="s">
        <v>609</v>
      </c>
      <c r="I258" s="67" t="s">
        <v>70</v>
      </c>
      <c r="J258" s="67" t="s">
        <v>70</v>
      </c>
      <c r="K258" s="67">
        <v>62.3</v>
      </c>
      <c r="L258" s="299">
        <f t="shared" si="10"/>
        <v>0</v>
      </c>
      <c r="M258" s="221" t="s">
        <v>631</v>
      </c>
      <c r="N258" s="220">
        <f>IF(OR(M258="nio",M258="eigen dienst"),0,IF(M258&gt;0,M258*K258/O258,0))*VLOOKUP(B258,'2-Kosten per locatie'!$A$14:$C$33,3,FALSE)</f>
        <v>0</v>
      </c>
      <c r="O258" s="300">
        <f>IF(OR(M258="nio",M258="eigen dienst"),0,IF(M258&gt;0,VLOOKUP(H258,'3-Productie normen'!A:J,VLOOKUP(M258,'3-Productie normen'!$B$34:$C$35,2,FALSE),FALSE)))</f>
        <v>0</v>
      </c>
      <c r="P258" s="301" t="str">
        <f>VLOOKUP(H258,'3-Productie normen'!A:L,12,FALSE)</f>
        <v>L</v>
      </c>
      <c r="Q258" s="301"/>
      <c r="S258" s="302">
        <f t="shared" si="11"/>
        <v>0</v>
      </c>
      <c r="T258" s="13"/>
    </row>
    <row r="259" spans="1:20" ht="14.15" customHeight="1">
      <c r="A259" s="71">
        <v>259</v>
      </c>
      <c r="B259" s="67" t="s">
        <v>211</v>
      </c>
      <c r="C259" s="467" t="s">
        <v>621</v>
      </c>
      <c r="D259" s="467" t="s">
        <v>720</v>
      </c>
      <c r="E259" s="67" t="s">
        <v>713</v>
      </c>
      <c r="F259" s="67" t="s">
        <v>235</v>
      </c>
      <c r="G259" s="67" t="s">
        <v>515</v>
      </c>
      <c r="H259" s="67" t="s">
        <v>609</v>
      </c>
      <c r="I259" s="67" t="s">
        <v>70</v>
      </c>
      <c r="J259" s="67" t="s">
        <v>70</v>
      </c>
      <c r="K259" s="67">
        <v>57.5</v>
      </c>
      <c r="L259" s="299">
        <f t="shared" si="10"/>
        <v>0</v>
      </c>
      <c r="M259" s="221" t="s">
        <v>631</v>
      </c>
      <c r="N259" s="220">
        <f>IF(OR(M259="nio",M259="eigen dienst"),0,IF(M259&gt;0,M259*K259/O259,0))*VLOOKUP(B259,'2-Kosten per locatie'!$A$14:$C$33,3,FALSE)</f>
        <v>0</v>
      </c>
      <c r="O259" s="300">
        <f>IF(OR(M259="nio",M259="eigen dienst"),0,IF(M259&gt;0,VLOOKUP(H259,'3-Productie normen'!A:J,VLOOKUP(M259,'3-Productie normen'!$B$34:$C$35,2,FALSE),FALSE)))</f>
        <v>0</v>
      </c>
      <c r="P259" s="301" t="str">
        <f>VLOOKUP(H259,'3-Productie normen'!A:L,12,FALSE)</f>
        <v>L</v>
      </c>
      <c r="Q259" s="301"/>
      <c r="S259" s="302">
        <f t="shared" si="11"/>
        <v>0</v>
      </c>
    </row>
    <row r="260" spans="1:20" ht="14.15" customHeight="1">
      <c r="A260" s="71">
        <v>260</v>
      </c>
      <c r="B260" s="67" t="s">
        <v>211</v>
      </c>
      <c r="C260" s="467" t="s">
        <v>621</v>
      </c>
      <c r="D260" s="467" t="s">
        <v>720</v>
      </c>
      <c r="E260" s="67" t="s">
        <v>713</v>
      </c>
      <c r="F260" s="67" t="s">
        <v>236</v>
      </c>
      <c r="G260" s="67" t="s">
        <v>514</v>
      </c>
      <c r="H260" s="67" t="s">
        <v>37</v>
      </c>
      <c r="I260" s="67" t="s">
        <v>601</v>
      </c>
      <c r="J260" s="67" t="s">
        <v>179</v>
      </c>
      <c r="K260" s="67">
        <v>5.9</v>
      </c>
      <c r="L260" s="299">
        <f t="shared" si="10"/>
        <v>0</v>
      </c>
      <c r="M260" s="221" t="s">
        <v>631</v>
      </c>
      <c r="N260" s="220">
        <f>IF(OR(M260="nio",M260="eigen dienst"),0,IF(M260&gt;0,M260*K260/O260,0))*VLOOKUP(B260,'2-Kosten per locatie'!$A$14:$C$33,3,FALSE)</f>
        <v>0</v>
      </c>
      <c r="O260" s="300">
        <f>IF(OR(M260="nio",M260="eigen dienst"),0,IF(M260&gt;0,VLOOKUP(H260,'3-Productie normen'!A:J,VLOOKUP(M260,'3-Productie normen'!$B$34:$C$35,2,FALSE),FALSE)))</f>
        <v>0</v>
      </c>
      <c r="P260" s="301" t="str">
        <f>VLOOKUP(H260,'3-Productie normen'!A:L,12,FALSE)</f>
        <v>S</v>
      </c>
      <c r="Q260" s="301"/>
      <c r="S260" s="302">
        <f t="shared" si="11"/>
        <v>0</v>
      </c>
    </row>
    <row r="261" spans="1:20" ht="14.15" customHeight="1">
      <c r="A261" s="71">
        <v>261</v>
      </c>
      <c r="B261" s="67" t="s">
        <v>211</v>
      </c>
      <c r="C261" s="467" t="s">
        <v>621</v>
      </c>
      <c r="D261" s="467" t="s">
        <v>720</v>
      </c>
      <c r="E261" s="67" t="s">
        <v>713</v>
      </c>
      <c r="F261" s="67" t="s">
        <v>237</v>
      </c>
      <c r="G261" s="67" t="s">
        <v>514</v>
      </c>
      <c r="H261" s="67" t="s">
        <v>37</v>
      </c>
      <c r="I261" s="67" t="s">
        <v>601</v>
      </c>
      <c r="J261" s="67" t="s">
        <v>179</v>
      </c>
      <c r="K261" s="67">
        <v>8.6999999999999993</v>
      </c>
      <c r="L261" s="299">
        <f t="shared" si="10"/>
        <v>0</v>
      </c>
      <c r="M261" s="221" t="s">
        <v>631</v>
      </c>
      <c r="N261" s="220">
        <f>IF(OR(M261="nio",M261="eigen dienst"),0,IF(M261&gt;0,M261*K261/O261,0))*VLOOKUP(B261,'2-Kosten per locatie'!$A$14:$C$33,3,FALSE)</f>
        <v>0</v>
      </c>
      <c r="O261" s="300">
        <f>IF(OR(M261="nio",M261="eigen dienst"),0,IF(M261&gt;0,VLOOKUP(H261,'3-Productie normen'!A:J,VLOOKUP(M261,'3-Productie normen'!$B$34:$C$35,2,FALSE),FALSE)))</f>
        <v>0</v>
      </c>
      <c r="P261" s="301" t="str">
        <f>VLOOKUP(H261,'3-Productie normen'!A:L,12,FALSE)</f>
        <v>S</v>
      </c>
      <c r="Q261" s="301"/>
      <c r="S261" s="302">
        <f t="shared" si="11"/>
        <v>0</v>
      </c>
    </row>
    <row r="262" spans="1:20" ht="14.15" customHeight="1">
      <c r="A262" s="71">
        <v>262</v>
      </c>
      <c r="B262" s="67" t="s">
        <v>211</v>
      </c>
      <c r="C262" s="467" t="s">
        <v>621</v>
      </c>
      <c r="D262" s="467" t="s">
        <v>720</v>
      </c>
      <c r="E262" s="67" t="s">
        <v>713</v>
      </c>
      <c r="F262" s="67" t="s">
        <v>221</v>
      </c>
      <c r="G262" s="67" t="s">
        <v>532</v>
      </c>
      <c r="H262" s="67" t="s">
        <v>630</v>
      </c>
      <c r="I262" s="67" t="s">
        <v>70</v>
      </c>
      <c r="J262" s="67" t="s">
        <v>70</v>
      </c>
      <c r="K262" s="67"/>
      <c r="L262" s="299">
        <f t="shared" si="10"/>
        <v>0</v>
      </c>
      <c r="M262" s="221" t="s">
        <v>629</v>
      </c>
      <c r="N262" s="220">
        <f>IF(OR(M262="nio",M262="eigen dienst"),0,IF(M262&gt;0,M262*K262/O262,0))*VLOOKUP(B262,'2-Kosten per locatie'!$A$14:$C$33,3,FALSE)</f>
        <v>0</v>
      </c>
      <c r="O262" s="300">
        <f>IF(OR(M262="nio",M262="eigen dienst"),0,IF(M262&gt;0,VLOOKUP(H262,'3-Productie normen'!A:J,VLOOKUP(M262,'3-Productie normen'!$B$34:$C$35,2,FALSE),FALSE)))</f>
        <v>0</v>
      </c>
      <c r="P262" s="301">
        <f>VLOOKUP(H262,'3-Productie normen'!A:L,12,FALSE)</f>
        <v>0</v>
      </c>
      <c r="Q262" s="301"/>
      <c r="S262" s="302">
        <f t="shared" si="11"/>
        <v>0</v>
      </c>
    </row>
    <row r="263" spans="1:20" ht="14.15" customHeight="1">
      <c r="A263" s="71">
        <v>263</v>
      </c>
      <c r="B263" s="67" t="s">
        <v>211</v>
      </c>
      <c r="C263" s="467" t="s">
        <v>621</v>
      </c>
      <c r="D263" s="467" t="s">
        <v>720</v>
      </c>
      <c r="E263" s="67" t="s">
        <v>713</v>
      </c>
      <c r="F263" s="67" t="s">
        <v>238</v>
      </c>
      <c r="G263" s="67" t="s">
        <v>518</v>
      </c>
      <c r="H263" s="67" t="s">
        <v>44</v>
      </c>
      <c r="I263" s="67" t="s">
        <v>70</v>
      </c>
      <c r="J263" s="67" t="s">
        <v>70</v>
      </c>
      <c r="K263" s="67">
        <v>1.2</v>
      </c>
      <c r="L263" s="299">
        <f t="shared" si="10"/>
        <v>0</v>
      </c>
      <c r="M263" s="221" t="s">
        <v>631</v>
      </c>
      <c r="N263" s="220">
        <f>IF(OR(M263="nio",M263="eigen dienst"),0,IF(M263&gt;0,M263*K263/O263,0))*VLOOKUP(B263,'2-Kosten per locatie'!$A$14:$C$33,3,FALSE)</f>
        <v>0</v>
      </c>
      <c r="O263" s="300">
        <f>IF(OR(M263="nio",M263="eigen dienst"),0,IF(M263&gt;0,VLOOKUP(H263,'3-Productie normen'!A:J,VLOOKUP(M263,'3-Productie normen'!$B$34:$C$35,2,FALSE),FALSE)))</f>
        <v>0</v>
      </c>
      <c r="P263" s="301" t="str">
        <f>VLOOKUP(H263,'3-Productie normen'!A:L,12,FALSE)</f>
        <v>V</v>
      </c>
      <c r="Q263" s="301"/>
      <c r="S263" s="302">
        <f t="shared" si="11"/>
        <v>0</v>
      </c>
    </row>
    <row r="264" spans="1:20" ht="14.15" customHeight="1">
      <c r="A264" s="71">
        <v>264</v>
      </c>
      <c r="B264" s="67" t="s">
        <v>211</v>
      </c>
      <c r="C264" s="467" t="s">
        <v>621</v>
      </c>
      <c r="D264" s="467" t="s">
        <v>720</v>
      </c>
      <c r="E264" s="67" t="s">
        <v>713</v>
      </c>
      <c r="F264" s="67" t="s">
        <v>239</v>
      </c>
      <c r="G264" s="67" t="s">
        <v>561</v>
      </c>
      <c r="H264" s="67" t="s">
        <v>37</v>
      </c>
      <c r="I264" s="67" t="s">
        <v>601</v>
      </c>
      <c r="J264" s="67" t="s">
        <v>179</v>
      </c>
      <c r="K264" s="67">
        <v>4.5</v>
      </c>
      <c r="L264" s="299">
        <f t="shared" si="10"/>
        <v>0</v>
      </c>
      <c r="M264" s="221" t="s">
        <v>631</v>
      </c>
      <c r="N264" s="220">
        <f>IF(OR(M264="nio",M264="eigen dienst"),0,IF(M264&gt;0,M264*K264/O264,0))*VLOOKUP(B264,'2-Kosten per locatie'!$A$14:$C$33,3,FALSE)</f>
        <v>0</v>
      </c>
      <c r="O264" s="300">
        <f>IF(OR(M264="nio",M264="eigen dienst"),0,IF(M264&gt;0,VLOOKUP(H264,'3-Productie normen'!A:J,VLOOKUP(M264,'3-Productie normen'!$B$34:$C$35,2,FALSE),FALSE)))</f>
        <v>0</v>
      </c>
      <c r="P264" s="301" t="str">
        <f>VLOOKUP(H264,'3-Productie normen'!A:L,12,FALSE)</f>
        <v>S</v>
      </c>
      <c r="Q264" s="301"/>
      <c r="S264" s="302">
        <f t="shared" si="11"/>
        <v>0</v>
      </c>
    </row>
    <row r="265" spans="1:20" ht="14.15" customHeight="1">
      <c r="A265" s="71">
        <v>265</v>
      </c>
      <c r="B265" s="67" t="s">
        <v>211</v>
      </c>
      <c r="C265" s="467" t="s">
        <v>621</v>
      </c>
      <c r="D265" s="467" t="s">
        <v>720</v>
      </c>
      <c r="E265" s="67" t="s">
        <v>713</v>
      </c>
      <c r="F265" s="67" t="s">
        <v>240</v>
      </c>
      <c r="G265" s="67" t="s">
        <v>514</v>
      </c>
      <c r="H265" s="67" t="s">
        <v>37</v>
      </c>
      <c r="I265" s="67" t="s">
        <v>601</v>
      </c>
      <c r="J265" s="67" t="s">
        <v>179</v>
      </c>
      <c r="K265" s="67">
        <v>3</v>
      </c>
      <c r="L265" s="299">
        <f t="shared" si="10"/>
        <v>0</v>
      </c>
      <c r="M265" s="221" t="s">
        <v>631</v>
      </c>
      <c r="N265" s="220">
        <f>IF(OR(M265="nio",M265="eigen dienst"),0,IF(M265&gt;0,M265*K265/O265,0))*VLOOKUP(B265,'2-Kosten per locatie'!$A$14:$C$33,3,FALSE)</f>
        <v>0</v>
      </c>
      <c r="O265" s="300">
        <f>IF(OR(M265="nio",M265="eigen dienst"),0,IF(M265&gt;0,VLOOKUP(H265,'3-Productie normen'!A:J,VLOOKUP(M265,'3-Productie normen'!$B$34:$C$35,2,FALSE),FALSE)))</f>
        <v>0</v>
      </c>
      <c r="P265" s="301" t="str">
        <f>VLOOKUP(H265,'3-Productie normen'!A:L,12,FALSE)</f>
        <v>S</v>
      </c>
      <c r="Q265" s="301"/>
      <c r="S265" s="302">
        <f t="shared" si="11"/>
        <v>0</v>
      </c>
    </row>
    <row r="266" spans="1:20" ht="14.15" customHeight="1">
      <c r="A266" s="71">
        <v>266</v>
      </c>
      <c r="B266" s="67" t="s">
        <v>211</v>
      </c>
      <c r="C266" s="467" t="s">
        <v>621</v>
      </c>
      <c r="D266" s="467" t="s">
        <v>720</v>
      </c>
      <c r="E266" s="67" t="s">
        <v>713</v>
      </c>
      <c r="F266" s="67" t="s">
        <v>241</v>
      </c>
      <c r="G266" s="67" t="s">
        <v>516</v>
      </c>
      <c r="H266" s="67" t="s">
        <v>35</v>
      </c>
      <c r="I266" s="67" t="s">
        <v>70</v>
      </c>
      <c r="J266" s="67" t="s">
        <v>70</v>
      </c>
      <c r="K266" s="67">
        <v>16.399999999999999</v>
      </c>
      <c r="L266" s="299">
        <f t="shared" si="10"/>
        <v>0</v>
      </c>
      <c r="M266" s="221" t="s">
        <v>631</v>
      </c>
      <c r="N266" s="220">
        <f>IF(OR(M266="nio",M266="eigen dienst"),0,IF(M266&gt;0,M266*K266/O266,0))*VLOOKUP(B266,'2-Kosten per locatie'!$A$14:$C$33,3,FALSE)</f>
        <v>0</v>
      </c>
      <c r="O266" s="300">
        <f>IF(OR(M266="nio",M266="eigen dienst"),0,IF(M266&gt;0,VLOOKUP(H266,'3-Productie normen'!A:J,VLOOKUP(M266,'3-Productie normen'!$B$34:$C$35,2,FALSE),FALSE)))</f>
        <v>0</v>
      </c>
      <c r="P266" s="301" t="str">
        <f>VLOOKUP(H266,'3-Productie normen'!A:L,12,FALSE)</f>
        <v>B</v>
      </c>
      <c r="Q266" s="301"/>
      <c r="S266" s="302">
        <f t="shared" si="11"/>
        <v>0</v>
      </c>
    </row>
    <row r="267" spans="1:20" ht="14.15" customHeight="1">
      <c r="A267" s="71">
        <v>267</v>
      </c>
      <c r="B267" s="67" t="s">
        <v>211</v>
      </c>
      <c r="C267" s="467" t="s">
        <v>621</v>
      </c>
      <c r="D267" s="467" t="s">
        <v>720</v>
      </c>
      <c r="E267" s="67" t="s">
        <v>713</v>
      </c>
      <c r="F267" s="67" t="s">
        <v>242</v>
      </c>
      <c r="G267" s="67" t="s">
        <v>518</v>
      </c>
      <c r="H267" s="67" t="s">
        <v>44</v>
      </c>
      <c r="I267" s="67" t="s">
        <v>70</v>
      </c>
      <c r="J267" s="67" t="s">
        <v>70</v>
      </c>
      <c r="K267" s="67">
        <v>2.1</v>
      </c>
      <c r="L267" s="299">
        <f t="shared" si="10"/>
        <v>0</v>
      </c>
      <c r="M267" s="221" t="s">
        <v>631</v>
      </c>
      <c r="N267" s="220">
        <f>IF(OR(M267="nio",M267="eigen dienst"),0,IF(M267&gt;0,M267*K267/O267,0))*VLOOKUP(B267,'2-Kosten per locatie'!$A$14:$C$33,3,FALSE)</f>
        <v>0</v>
      </c>
      <c r="O267" s="300">
        <f>IF(OR(M267="nio",M267="eigen dienst"),0,IF(M267&gt;0,VLOOKUP(H267,'3-Productie normen'!A:J,VLOOKUP(M267,'3-Productie normen'!$B$34:$C$35,2,FALSE),FALSE)))</f>
        <v>0</v>
      </c>
      <c r="P267" s="301" t="str">
        <f>VLOOKUP(H267,'3-Productie normen'!A:L,12,FALSE)</f>
        <v>V</v>
      </c>
      <c r="Q267" s="301"/>
      <c r="S267" s="302">
        <f t="shared" si="11"/>
        <v>0</v>
      </c>
    </row>
    <row r="268" spans="1:20" ht="14.15" customHeight="1">
      <c r="A268" s="71">
        <v>268</v>
      </c>
      <c r="B268" s="67" t="s">
        <v>211</v>
      </c>
      <c r="C268" s="467" t="s">
        <v>621</v>
      </c>
      <c r="D268" s="467" t="s">
        <v>720</v>
      </c>
      <c r="E268" s="67" t="s">
        <v>713</v>
      </c>
      <c r="F268" s="67" t="s">
        <v>243</v>
      </c>
      <c r="G268" s="67" t="s">
        <v>578</v>
      </c>
      <c r="H268" s="67" t="s">
        <v>39</v>
      </c>
      <c r="I268" s="67" t="s">
        <v>70</v>
      </c>
      <c r="J268" s="67" t="s">
        <v>70</v>
      </c>
      <c r="K268" s="67">
        <v>71.8</v>
      </c>
      <c r="L268" s="299">
        <f t="shared" si="10"/>
        <v>0</v>
      </c>
      <c r="M268" s="221" t="s">
        <v>631</v>
      </c>
      <c r="N268" s="220">
        <f>IF(OR(M268="nio",M268="eigen dienst"),0,IF(M268&gt;0,M268*K268/O268,0))*VLOOKUP(B268,'2-Kosten per locatie'!$A$14:$C$33,3,FALSE)</f>
        <v>0</v>
      </c>
      <c r="O268" s="300">
        <f>IF(OR(M268="nio",M268="eigen dienst"),0,IF(M268&gt;0,VLOOKUP(H268,'3-Productie normen'!A:J,VLOOKUP(M268,'3-Productie normen'!$B$34:$C$35,2,FALSE),FALSE)))</f>
        <v>0</v>
      </c>
      <c r="P268" s="301" t="str">
        <f>VLOOKUP(H268,'3-Productie normen'!A:L,12,FALSE)</f>
        <v>V</v>
      </c>
      <c r="Q268" s="301"/>
      <c r="S268" s="302">
        <f t="shared" si="11"/>
        <v>0</v>
      </c>
    </row>
    <row r="269" spans="1:20" ht="14.15" customHeight="1">
      <c r="A269" s="71">
        <v>269</v>
      </c>
      <c r="B269" s="67" t="s">
        <v>211</v>
      </c>
      <c r="C269" s="467" t="s">
        <v>621</v>
      </c>
      <c r="D269" s="467" t="s">
        <v>720</v>
      </c>
      <c r="E269" s="67" t="s">
        <v>713</v>
      </c>
      <c r="F269" s="67" t="s">
        <v>244</v>
      </c>
      <c r="G269" s="67" t="s">
        <v>512</v>
      </c>
      <c r="H269" s="67" t="s">
        <v>39</v>
      </c>
      <c r="I269" s="67" t="s">
        <v>70</v>
      </c>
      <c r="J269" s="67" t="s">
        <v>70</v>
      </c>
      <c r="K269" s="67">
        <v>63.900000000000006</v>
      </c>
      <c r="L269" s="299">
        <f t="shared" si="10"/>
        <v>0</v>
      </c>
      <c r="M269" s="221" t="s">
        <v>631</v>
      </c>
      <c r="N269" s="220">
        <f>IF(OR(M269="nio",M269="eigen dienst"),0,IF(M269&gt;0,M269*K269/O269,0))*VLOOKUP(B269,'2-Kosten per locatie'!$A$14:$C$33,3,FALSE)</f>
        <v>0</v>
      </c>
      <c r="O269" s="300">
        <f>IF(OR(M269="nio",M269="eigen dienst"),0,IF(M269&gt;0,VLOOKUP(H269,'3-Productie normen'!A:J,VLOOKUP(M269,'3-Productie normen'!$B$34:$C$35,2,FALSE),FALSE)))</f>
        <v>0</v>
      </c>
      <c r="P269" s="301" t="str">
        <f>VLOOKUP(H269,'3-Productie normen'!A:L,12,FALSE)</f>
        <v>V</v>
      </c>
      <c r="Q269" s="301"/>
      <c r="S269" s="302">
        <f t="shared" si="11"/>
        <v>0</v>
      </c>
    </row>
    <row r="270" spans="1:20" ht="14.15" customHeight="1">
      <c r="A270" s="71">
        <v>270</v>
      </c>
      <c r="B270" s="67" t="s">
        <v>211</v>
      </c>
      <c r="C270" s="467" t="s">
        <v>621</v>
      </c>
      <c r="D270" s="467" t="s">
        <v>720</v>
      </c>
      <c r="E270" s="67" t="s">
        <v>713</v>
      </c>
      <c r="F270" s="67" t="s">
        <v>245</v>
      </c>
      <c r="G270" s="67" t="s">
        <v>512</v>
      </c>
      <c r="H270" s="67" t="s">
        <v>39</v>
      </c>
      <c r="I270" s="67" t="s">
        <v>70</v>
      </c>
      <c r="J270" s="67" t="s">
        <v>70</v>
      </c>
      <c r="K270" s="67">
        <v>58.9</v>
      </c>
      <c r="L270" s="299">
        <f t="shared" si="10"/>
        <v>0</v>
      </c>
      <c r="M270" s="221" t="s">
        <v>631</v>
      </c>
      <c r="N270" s="220">
        <f>IF(OR(M270="nio",M270="eigen dienst"),0,IF(M270&gt;0,M270*K270/O270,0))*VLOOKUP(B270,'2-Kosten per locatie'!$A$14:$C$33,3,FALSE)</f>
        <v>0</v>
      </c>
      <c r="O270" s="300">
        <f>IF(OR(M270="nio",M270="eigen dienst"),0,IF(M270&gt;0,VLOOKUP(H270,'3-Productie normen'!A:J,VLOOKUP(M270,'3-Productie normen'!$B$34:$C$35,2,FALSE),FALSE)))</f>
        <v>0</v>
      </c>
      <c r="P270" s="301" t="str">
        <f>VLOOKUP(H270,'3-Productie normen'!A:L,12,FALSE)</f>
        <v>V</v>
      </c>
      <c r="Q270" s="301"/>
      <c r="S270" s="302">
        <f t="shared" si="11"/>
        <v>0</v>
      </c>
    </row>
    <row r="271" spans="1:20" ht="14.15" customHeight="1">
      <c r="A271" s="71">
        <v>271</v>
      </c>
      <c r="B271" s="67" t="s">
        <v>211</v>
      </c>
      <c r="C271" s="467" t="s">
        <v>621</v>
      </c>
      <c r="D271" s="467" t="s">
        <v>720</v>
      </c>
      <c r="E271" s="67" t="s">
        <v>713</v>
      </c>
      <c r="F271" s="67" t="s">
        <v>246</v>
      </c>
      <c r="G271" s="67" t="s">
        <v>515</v>
      </c>
      <c r="H271" s="67" t="s">
        <v>609</v>
      </c>
      <c r="I271" s="67" t="s">
        <v>70</v>
      </c>
      <c r="J271" s="67" t="s">
        <v>70</v>
      </c>
      <c r="K271" s="67">
        <v>83.4</v>
      </c>
      <c r="L271" s="299">
        <f t="shared" si="10"/>
        <v>0</v>
      </c>
      <c r="M271" s="221" t="s">
        <v>631</v>
      </c>
      <c r="N271" s="220">
        <f>IF(OR(M271="nio",M271="eigen dienst"),0,IF(M271&gt;0,M271*K271/O271,0))*VLOOKUP(B271,'2-Kosten per locatie'!$A$14:$C$33,3,FALSE)</f>
        <v>0</v>
      </c>
      <c r="O271" s="300">
        <f>IF(OR(M271="nio",M271="eigen dienst"),0,IF(M271&gt;0,VLOOKUP(H271,'3-Productie normen'!A:J,VLOOKUP(M271,'3-Productie normen'!$B$34:$C$35,2,FALSE),FALSE)))</f>
        <v>0</v>
      </c>
      <c r="P271" s="301" t="str">
        <f>VLOOKUP(H271,'3-Productie normen'!A:L,12,FALSE)</f>
        <v>L</v>
      </c>
      <c r="Q271" s="301"/>
      <c r="S271" s="302">
        <f t="shared" si="11"/>
        <v>0</v>
      </c>
    </row>
    <row r="272" spans="1:20" ht="14.15" customHeight="1">
      <c r="A272" s="71">
        <v>272</v>
      </c>
      <c r="B272" s="67" t="s">
        <v>211</v>
      </c>
      <c r="C272" s="467" t="s">
        <v>621</v>
      </c>
      <c r="D272" s="467" t="s">
        <v>720</v>
      </c>
      <c r="E272" s="67" t="s">
        <v>713</v>
      </c>
      <c r="F272" s="67" t="s">
        <v>247</v>
      </c>
      <c r="G272" s="67" t="s">
        <v>518</v>
      </c>
      <c r="H272" s="67" t="s">
        <v>44</v>
      </c>
      <c r="I272" s="67" t="s">
        <v>70</v>
      </c>
      <c r="J272" s="67" t="s">
        <v>70</v>
      </c>
      <c r="K272" s="67">
        <v>20</v>
      </c>
      <c r="L272" s="299">
        <f t="shared" si="10"/>
        <v>0</v>
      </c>
      <c r="M272" s="221" t="s">
        <v>631</v>
      </c>
      <c r="N272" s="220">
        <f>IF(OR(M272="nio",M272="eigen dienst"),0,IF(M272&gt;0,M272*K272/O272,0))*VLOOKUP(B272,'2-Kosten per locatie'!$A$14:$C$33,3,FALSE)</f>
        <v>0</v>
      </c>
      <c r="O272" s="300">
        <f>IF(OR(M272="nio",M272="eigen dienst"),0,IF(M272&gt;0,VLOOKUP(H272,'3-Productie normen'!A:J,VLOOKUP(M272,'3-Productie normen'!$B$34:$C$35,2,FALSE),FALSE)))</f>
        <v>0</v>
      </c>
      <c r="P272" s="301" t="str">
        <f>VLOOKUP(H272,'3-Productie normen'!A:L,12,FALSE)</f>
        <v>V</v>
      </c>
      <c r="Q272" s="301"/>
      <c r="S272" s="302">
        <f t="shared" si="11"/>
        <v>0</v>
      </c>
    </row>
    <row r="273" spans="1:19" ht="14.15" customHeight="1">
      <c r="A273" s="71">
        <v>273</v>
      </c>
      <c r="B273" s="67" t="s">
        <v>211</v>
      </c>
      <c r="C273" s="467" t="s">
        <v>621</v>
      </c>
      <c r="D273" s="467" t="s">
        <v>720</v>
      </c>
      <c r="E273" s="67" t="s">
        <v>713</v>
      </c>
      <c r="F273" s="67" t="s">
        <v>248</v>
      </c>
      <c r="G273" s="67" t="s">
        <v>515</v>
      </c>
      <c r="H273" s="67" t="s">
        <v>609</v>
      </c>
      <c r="I273" s="67" t="s">
        <v>70</v>
      </c>
      <c r="J273" s="67" t="s">
        <v>70</v>
      </c>
      <c r="K273" s="67">
        <v>83.4</v>
      </c>
      <c r="L273" s="299">
        <f t="shared" si="10"/>
        <v>0</v>
      </c>
      <c r="M273" s="221" t="s">
        <v>631</v>
      </c>
      <c r="N273" s="220">
        <f>IF(OR(M273="nio",M273="eigen dienst"),0,IF(M273&gt;0,M273*K273/O273,0))*VLOOKUP(B273,'2-Kosten per locatie'!$A$14:$C$33,3,FALSE)</f>
        <v>0</v>
      </c>
      <c r="O273" s="300">
        <f>IF(OR(M273="nio",M273="eigen dienst"),0,IF(M273&gt;0,VLOOKUP(H273,'3-Productie normen'!A:J,VLOOKUP(M273,'3-Productie normen'!$B$34:$C$35,2,FALSE),FALSE)))</f>
        <v>0</v>
      </c>
      <c r="P273" s="301" t="str">
        <f>VLOOKUP(H273,'3-Productie normen'!A:L,12,FALSE)</f>
        <v>L</v>
      </c>
      <c r="Q273" s="301"/>
      <c r="S273" s="302">
        <f t="shared" si="11"/>
        <v>0</v>
      </c>
    </row>
    <row r="274" spans="1:19" ht="14.15" customHeight="1">
      <c r="A274" s="71">
        <v>274</v>
      </c>
      <c r="B274" s="67" t="s">
        <v>211</v>
      </c>
      <c r="C274" s="467" t="s">
        <v>621</v>
      </c>
      <c r="D274" s="467" t="s">
        <v>720</v>
      </c>
      <c r="E274" s="67" t="s">
        <v>713</v>
      </c>
      <c r="F274" s="67" t="s">
        <v>249</v>
      </c>
      <c r="G274" s="67" t="s">
        <v>514</v>
      </c>
      <c r="H274" s="67" t="s">
        <v>37</v>
      </c>
      <c r="I274" s="67" t="s">
        <v>601</v>
      </c>
      <c r="J274" s="67" t="s">
        <v>179</v>
      </c>
      <c r="K274" s="67">
        <v>4.4000000000000004</v>
      </c>
      <c r="L274" s="299">
        <f t="shared" si="10"/>
        <v>0</v>
      </c>
      <c r="M274" s="221" t="s">
        <v>631</v>
      </c>
      <c r="N274" s="220">
        <f>IF(OR(M274="nio",M274="eigen dienst"),0,IF(M274&gt;0,M274*K274/O274,0))*VLOOKUP(B274,'2-Kosten per locatie'!$A$14:$C$33,3,FALSE)</f>
        <v>0</v>
      </c>
      <c r="O274" s="300">
        <f>IF(OR(M274="nio",M274="eigen dienst"),0,IF(M274&gt;0,VLOOKUP(H274,'3-Productie normen'!A:J,VLOOKUP(M274,'3-Productie normen'!$B$34:$C$35,2,FALSE),FALSE)))</f>
        <v>0</v>
      </c>
      <c r="P274" s="301" t="str">
        <f>VLOOKUP(H274,'3-Productie normen'!A:L,12,FALSE)</f>
        <v>S</v>
      </c>
      <c r="Q274" s="301"/>
      <c r="S274" s="302">
        <f t="shared" si="11"/>
        <v>0</v>
      </c>
    </row>
    <row r="275" spans="1:19" ht="14.15" customHeight="1">
      <c r="A275" s="71">
        <v>275</v>
      </c>
      <c r="B275" s="67" t="s">
        <v>211</v>
      </c>
      <c r="C275" s="467" t="s">
        <v>621</v>
      </c>
      <c r="D275" s="467" t="s">
        <v>720</v>
      </c>
      <c r="E275" s="67" t="s">
        <v>713</v>
      </c>
      <c r="F275" s="67" t="s">
        <v>250</v>
      </c>
      <c r="G275" s="67" t="s">
        <v>514</v>
      </c>
      <c r="H275" s="67" t="s">
        <v>37</v>
      </c>
      <c r="I275" s="67" t="s">
        <v>601</v>
      </c>
      <c r="J275" s="67" t="s">
        <v>179</v>
      </c>
      <c r="K275" s="67">
        <v>2.8</v>
      </c>
      <c r="L275" s="299">
        <f t="shared" si="10"/>
        <v>0</v>
      </c>
      <c r="M275" s="221" t="s">
        <v>631</v>
      </c>
      <c r="N275" s="220">
        <f>IF(OR(M275="nio",M275="eigen dienst"),0,IF(M275&gt;0,M275*K275/O275,0))*VLOOKUP(B275,'2-Kosten per locatie'!$A$14:$C$33,3,FALSE)</f>
        <v>0</v>
      </c>
      <c r="O275" s="300">
        <f>IF(OR(M275="nio",M275="eigen dienst"),0,IF(M275&gt;0,VLOOKUP(H275,'3-Productie normen'!A:J,VLOOKUP(M275,'3-Productie normen'!$B$34:$C$35,2,FALSE),FALSE)))</f>
        <v>0</v>
      </c>
      <c r="P275" s="301" t="str">
        <f>VLOOKUP(H275,'3-Productie normen'!A:L,12,FALSE)</f>
        <v>S</v>
      </c>
      <c r="Q275" s="301"/>
      <c r="S275" s="302">
        <f t="shared" si="11"/>
        <v>0</v>
      </c>
    </row>
    <row r="276" spans="1:19" ht="14.15" customHeight="1">
      <c r="A276" s="71">
        <v>276</v>
      </c>
      <c r="B276" s="67" t="s">
        <v>211</v>
      </c>
      <c r="C276" s="467" t="s">
        <v>621</v>
      </c>
      <c r="D276" s="467" t="s">
        <v>720</v>
      </c>
      <c r="E276" s="67" t="s">
        <v>713</v>
      </c>
      <c r="F276" s="67" t="s">
        <v>251</v>
      </c>
      <c r="G276" s="67" t="s">
        <v>514</v>
      </c>
      <c r="H276" s="67" t="s">
        <v>37</v>
      </c>
      <c r="I276" s="67" t="s">
        <v>601</v>
      </c>
      <c r="J276" s="67" t="s">
        <v>179</v>
      </c>
      <c r="K276" s="67">
        <v>4.4000000000000004</v>
      </c>
      <c r="L276" s="299">
        <f t="shared" si="10"/>
        <v>0</v>
      </c>
      <c r="M276" s="221" t="s">
        <v>631</v>
      </c>
      <c r="N276" s="220">
        <f>IF(OR(M276="nio",M276="eigen dienst"),0,IF(M276&gt;0,M276*K276/O276,0))*VLOOKUP(B276,'2-Kosten per locatie'!$A$14:$C$33,3,FALSE)</f>
        <v>0</v>
      </c>
      <c r="O276" s="300">
        <f>IF(OR(M276="nio",M276="eigen dienst"),0,IF(M276&gt;0,VLOOKUP(H276,'3-Productie normen'!A:J,VLOOKUP(M276,'3-Productie normen'!$B$34:$C$35,2,FALSE),FALSE)))</f>
        <v>0</v>
      </c>
      <c r="P276" s="301" t="str">
        <f>VLOOKUP(H276,'3-Productie normen'!A:L,12,FALSE)</f>
        <v>S</v>
      </c>
      <c r="Q276" s="301"/>
      <c r="S276" s="302">
        <f t="shared" si="11"/>
        <v>0</v>
      </c>
    </row>
    <row r="277" spans="1:19" ht="14.15" customHeight="1">
      <c r="A277" s="71">
        <v>277</v>
      </c>
      <c r="B277" s="67" t="s">
        <v>211</v>
      </c>
      <c r="C277" s="467" t="s">
        <v>621</v>
      </c>
      <c r="D277" s="467" t="s">
        <v>720</v>
      </c>
      <c r="E277" s="67" t="s">
        <v>713</v>
      </c>
      <c r="F277" s="67" t="s">
        <v>252</v>
      </c>
      <c r="G277" s="67" t="s">
        <v>512</v>
      </c>
      <c r="H277" s="67" t="s">
        <v>39</v>
      </c>
      <c r="I277" s="67" t="s">
        <v>70</v>
      </c>
      <c r="J277" s="67" t="s">
        <v>70</v>
      </c>
      <c r="K277" s="67">
        <v>42.5</v>
      </c>
      <c r="L277" s="299">
        <f t="shared" si="10"/>
        <v>0</v>
      </c>
      <c r="M277" s="221" t="s">
        <v>631</v>
      </c>
      <c r="N277" s="220">
        <f>IF(OR(M277="nio",M277="eigen dienst"),0,IF(M277&gt;0,M277*K277/O277,0))*VLOOKUP(B277,'2-Kosten per locatie'!$A$14:$C$33,3,FALSE)</f>
        <v>0</v>
      </c>
      <c r="O277" s="300">
        <f>IF(OR(M277="nio",M277="eigen dienst"),0,IF(M277&gt;0,VLOOKUP(H277,'3-Productie normen'!A:J,VLOOKUP(M277,'3-Productie normen'!$B$34:$C$35,2,FALSE),FALSE)))</f>
        <v>0</v>
      </c>
      <c r="P277" s="301" t="str">
        <f>VLOOKUP(H277,'3-Productie normen'!A:L,12,FALSE)</f>
        <v>V</v>
      </c>
      <c r="Q277" s="301"/>
      <c r="S277" s="302">
        <f t="shared" si="11"/>
        <v>0</v>
      </c>
    </row>
    <row r="278" spans="1:19" ht="14.15" customHeight="1">
      <c r="A278" s="71">
        <v>278</v>
      </c>
      <c r="B278" s="67" t="s">
        <v>211</v>
      </c>
      <c r="C278" s="467" t="s">
        <v>621</v>
      </c>
      <c r="D278" s="467" t="s">
        <v>720</v>
      </c>
      <c r="E278" s="67" t="s">
        <v>713</v>
      </c>
      <c r="F278" s="67" t="s">
        <v>253</v>
      </c>
      <c r="G278" s="67" t="s">
        <v>47</v>
      </c>
      <c r="H278" s="67" t="s">
        <v>47</v>
      </c>
      <c r="I278" s="67" t="s">
        <v>597</v>
      </c>
      <c r="J278" s="67" t="s">
        <v>201</v>
      </c>
      <c r="K278" s="67">
        <v>11.4</v>
      </c>
      <c r="L278" s="299">
        <f t="shared" si="10"/>
        <v>0</v>
      </c>
      <c r="M278" s="221" t="s">
        <v>631</v>
      </c>
      <c r="N278" s="220">
        <f>IF(OR(M278="nio",M278="eigen dienst"),0,IF(M278&gt;0,M278*K278/O278,0))*VLOOKUP(B278,'2-Kosten per locatie'!$A$14:$C$33,3,FALSE)</f>
        <v>0</v>
      </c>
      <c r="O278" s="300">
        <f>IF(OR(M278="nio",M278="eigen dienst"),0,IF(M278&gt;0,VLOOKUP(H278,'3-Productie normen'!A:J,VLOOKUP(M278,'3-Productie normen'!$B$34:$C$35,2,FALSE),FALSE)))</f>
        <v>0</v>
      </c>
      <c r="P278" s="301" t="str">
        <f>VLOOKUP(H278,'3-Productie normen'!A:L,12,FALSE)</f>
        <v>V</v>
      </c>
      <c r="Q278" s="301"/>
      <c r="S278" s="302">
        <f t="shared" si="11"/>
        <v>0</v>
      </c>
    </row>
    <row r="279" spans="1:19" ht="14.15" customHeight="1">
      <c r="A279" s="71">
        <v>279</v>
      </c>
      <c r="B279" s="67" t="s">
        <v>211</v>
      </c>
      <c r="C279" s="467" t="s">
        <v>621</v>
      </c>
      <c r="D279" s="467" t="s">
        <v>720</v>
      </c>
      <c r="E279" s="67" t="s">
        <v>713</v>
      </c>
      <c r="F279" s="67" t="s">
        <v>254</v>
      </c>
      <c r="G279" s="67" t="s">
        <v>516</v>
      </c>
      <c r="H279" s="67" t="s">
        <v>35</v>
      </c>
      <c r="I279" s="67" t="s">
        <v>70</v>
      </c>
      <c r="J279" s="67" t="s">
        <v>70</v>
      </c>
      <c r="K279" s="67">
        <v>10.4</v>
      </c>
      <c r="L279" s="299">
        <f t="shared" si="10"/>
        <v>0</v>
      </c>
      <c r="M279" s="221" t="s">
        <v>631</v>
      </c>
      <c r="N279" s="220">
        <f>IF(OR(M279="nio",M279="eigen dienst"),0,IF(M279&gt;0,M279*K279/O279,0))*VLOOKUP(B279,'2-Kosten per locatie'!$A$14:$C$33,3,FALSE)</f>
        <v>0</v>
      </c>
      <c r="O279" s="300">
        <f>IF(OR(M279="nio",M279="eigen dienst"),0,IF(M279&gt;0,VLOOKUP(H279,'3-Productie normen'!A:J,VLOOKUP(M279,'3-Productie normen'!$B$34:$C$35,2,FALSE),FALSE)))</f>
        <v>0</v>
      </c>
      <c r="P279" s="301" t="str">
        <f>VLOOKUP(H279,'3-Productie normen'!A:L,12,FALSE)</f>
        <v>B</v>
      </c>
      <c r="Q279" s="301"/>
      <c r="S279" s="302">
        <f t="shared" si="11"/>
        <v>0</v>
      </c>
    </row>
    <row r="280" spans="1:19" ht="14.15" customHeight="1">
      <c r="A280" s="71">
        <v>280</v>
      </c>
      <c r="B280" s="67" t="s">
        <v>211</v>
      </c>
      <c r="C280" s="467" t="s">
        <v>621</v>
      </c>
      <c r="D280" s="467" t="s">
        <v>720</v>
      </c>
      <c r="E280" s="67" t="s">
        <v>713</v>
      </c>
      <c r="F280" s="67" t="s">
        <v>255</v>
      </c>
      <c r="G280" s="67" t="s">
        <v>516</v>
      </c>
      <c r="H280" s="67" t="s">
        <v>35</v>
      </c>
      <c r="I280" s="67" t="s">
        <v>70</v>
      </c>
      <c r="J280" s="67" t="s">
        <v>70</v>
      </c>
      <c r="K280" s="67">
        <v>14.4</v>
      </c>
      <c r="L280" s="299">
        <f t="shared" si="10"/>
        <v>0</v>
      </c>
      <c r="M280" s="221" t="s">
        <v>631</v>
      </c>
      <c r="N280" s="220">
        <f>IF(OR(M280="nio",M280="eigen dienst"),0,IF(M280&gt;0,M280*K280/O280,0))*VLOOKUP(B280,'2-Kosten per locatie'!$A$14:$C$33,3,FALSE)</f>
        <v>0</v>
      </c>
      <c r="O280" s="300">
        <f>IF(OR(M280="nio",M280="eigen dienst"),0,IF(M280&gt;0,VLOOKUP(H280,'3-Productie normen'!A:J,VLOOKUP(M280,'3-Productie normen'!$B$34:$C$35,2,FALSE),FALSE)))</f>
        <v>0</v>
      </c>
      <c r="P280" s="301" t="str">
        <f>VLOOKUP(H280,'3-Productie normen'!A:L,12,FALSE)</f>
        <v>B</v>
      </c>
      <c r="Q280" s="301"/>
      <c r="S280" s="302">
        <f t="shared" si="11"/>
        <v>0</v>
      </c>
    </row>
    <row r="281" spans="1:19" ht="14.15" customHeight="1">
      <c r="A281" s="71">
        <v>281</v>
      </c>
      <c r="B281" s="67" t="s">
        <v>211</v>
      </c>
      <c r="C281" s="467" t="s">
        <v>621</v>
      </c>
      <c r="D281" s="467" t="s">
        <v>720</v>
      </c>
      <c r="E281" s="67" t="s">
        <v>713</v>
      </c>
      <c r="F281" s="67" t="s">
        <v>256</v>
      </c>
      <c r="G281" s="67" t="s">
        <v>517</v>
      </c>
      <c r="H281" s="67" t="s">
        <v>43</v>
      </c>
      <c r="I281" s="67" t="s">
        <v>70</v>
      </c>
      <c r="J281" s="67" t="s">
        <v>70</v>
      </c>
      <c r="K281" s="67">
        <v>40</v>
      </c>
      <c r="L281" s="299">
        <f t="shared" si="10"/>
        <v>0</v>
      </c>
      <c r="M281" s="221" t="s">
        <v>631</v>
      </c>
      <c r="N281" s="220">
        <f>IF(OR(M281="nio",M281="eigen dienst"),0,IF(M281&gt;0,M281*K281/O281,0))*VLOOKUP(B281,'2-Kosten per locatie'!$A$14:$C$33,3,FALSE)</f>
        <v>0</v>
      </c>
      <c r="O281" s="300">
        <f>IF(OR(M281="nio",M281="eigen dienst"),0,IF(M281&gt;0,VLOOKUP(H281,'3-Productie normen'!A:J,VLOOKUP(M281,'3-Productie normen'!$B$34:$C$35,2,FALSE),FALSE)))</f>
        <v>0</v>
      </c>
      <c r="P281" s="301" t="str">
        <f>VLOOKUP(H281,'3-Productie normen'!A:L,12,FALSE)</f>
        <v>B</v>
      </c>
      <c r="Q281" s="301"/>
      <c r="S281" s="302">
        <f t="shared" si="11"/>
        <v>0</v>
      </c>
    </row>
    <row r="282" spans="1:19" ht="14.15" customHeight="1">
      <c r="A282" s="71">
        <v>282</v>
      </c>
      <c r="B282" s="67" t="s">
        <v>211</v>
      </c>
      <c r="C282" s="467" t="s">
        <v>621</v>
      </c>
      <c r="D282" s="467" t="s">
        <v>720</v>
      </c>
      <c r="E282" s="67" t="s">
        <v>713</v>
      </c>
      <c r="F282" s="67" t="s">
        <v>257</v>
      </c>
      <c r="G282" s="67" t="s">
        <v>519</v>
      </c>
      <c r="H282" s="67" t="s">
        <v>41</v>
      </c>
      <c r="I282" s="67" t="s">
        <v>70</v>
      </c>
      <c r="J282" s="67" t="s">
        <v>70</v>
      </c>
      <c r="K282" s="67">
        <v>11.2</v>
      </c>
      <c r="L282" s="299">
        <f t="shared" si="10"/>
        <v>0</v>
      </c>
      <c r="M282" s="221" t="s">
        <v>631</v>
      </c>
      <c r="N282" s="220">
        <f>IF(OR(M282="nio",M282="eigen dienst"),0,IF(M282&gt;0,M282*K282/O282,0))*VLOOKUP(B282,'2-Kosten per locatie'!$A$14:$C$33,3,FALSE)</f>
        <v>0</v>
      </c>
      <c r="O282" s="300">
        <f>IF(OR(M282="nio",M282="eigen dienst"),0,IF(M282&gt;0,VLOOKUP(H282,'3-Productie normen'!A:J,VLOOKUP(M282,'3-Productie normen'!$B$34:$C$35,2,FALSE),FALSE)))</f>
        <v>0</v>
      </c>
      <c r="P282" s="301" t="str">
        <f>VLOOKUP(H282,'3-Productie normen'!A:L,12,FALSE)</f>
        <v>V</v>
      </c>
      <c r="Q282" s="301"/>
      <c r="S282" s="302">
        <f t="shared" si="11"/>
        <v>0</v>
      </c>
    </row>
    <row r="283" spans="1:19" ht="14.15" customHeight="1">
      <c r="A283" s="71">
        <v>283</v>
      </c>
      <c r="B283" s="67" t="s">
        <v>211</v>
      </c>
      <c r="C283" s="467" t="s">
        <v>621</v>
      </c>
      <c r="D283" s="467" t="s">
        <v>720</v>
      </c>
      <c r="E283" s="67" t="s">
        <v>713</v>
      </c>
      <c r="F283" s="67" t="s">
        <v>258</v>
      </c>
      <c r="G283" s="67" t="s">
        <v>512</v>
      </c>
      <c r="H283" s="67" t="s">
        <v>39</v>
      </c>
      <c r="I283" s="67" t="s">
        <v>70</v>
      </c>
      <c r="J283" s="67" t="s">
        <v>70</v>
      </c>
      <c r="K283" s="67">
        <v>17.2</v>
      </c>
      <c r="L283" s="299">
        <f t="shared" si="10"/>
        <v>0</v>
      </c>
      <c r="M283" s="221" t="s">
        <v>631</v>
      </c>
      <c r="N283" s="220">
        <f>IF(OR(M283="nio",M283="eigen dienst"),0,IF(M283&gt;0,M283*K283/O283,0))*VLOOKUP(B283,'2-Kosten per locatie'!$A$14:$C$33,3,FALSE)</f>
        <v>0</v>
      </c>
      <c r="O283" s="300">
        <f>IF(OR(M283="nio",M283="eigen dienst"),0,IF(M283&gt;0,VLOOKUP(H283,'3-Productie normen'!A:J,VLOOKUP(M283,'3-Productie normen'!$B$34:$C$35,2,FALSE),FALSE)))</f>
        <v>0</v>
      </c>
      <c r="P283" s="301" t="str">
        <f>VLOOKUP(H283,'3-Productie normen'!A:L,12,FALSE)</f>
        <v>V</v>
      </c>
      <c r="Q283" s="301"/>
      <c r="S283" s="302">
        <f t="shared" si="11"/>
        <v>0</v>
      </c>
    </row>
    <row r="284" spans="1:19" ht="14.15" customHeight="1">
      <c r="A284" s="71">
        <v>284</v>
      </c>
      <c r="B284" s="67" t="s">
        <v>211</v>
      </c>
      <c r="C284" s="467" t="s">
        <v>621</v>
      </c>
      <c r="D284" s="467" t="s">
        <v>720</v>
      </c>
      <c r="E284" s="67" t="s">
        <v>713</v>
      </c>
      <c r="F284" s="67" t="s">
        <v>501</v>
      </c>
      <c r="G284" s="67" t="s">
        <v>523</v>
      </c>
      <c r="H284" s="67" t="s">
        <v>630</v>
      </c>
      <c r="I284" s="67" t="s">
        <v>70</v>
      </c>
      <c r="J284" s="67" t="s">
        <v>70</v>
      </c>
      <c r="K284" s="67">
        <v>7.7</v>
      </c>
      <c r="L284" s="299">
        <f t="shared" si="10"/>
        <v>0</v>
      </c>
      <c r="M284" s="221" t="s">
        <v>629</v>
      </c>
      <c r="N284" s="220">
        <f>IF(OR(M284="nio",M284="eigen dienst"),0,IF(M284&gt;0,M284*K284/O284,0))*VLOOKUP(B284,'2-Kosten per locatie'!$A$14:$C$33,3,FALSE)</f>
        <v>0</v>
      </c>
      <c r="O284" s="300">
        <f>IF(OR(M284="nio",M284="eigen dienst"),0,IF(M284&gt;0,VLOOKUP(H284,'3-Productie normen'!A:J,VLOOKUP(M284,'3-Productie normen'!$B$34:$C$35,2,FALSE),FALSE)))</f>
        <v>0</v>
      </c>
      <c r="P284" s="301">
        <f>VLOOKUP(H284,'3-Productie normen'!A:L,12,FALSE)</f>
        <v>0</v>
      </c>
      <c r="Q284" s="301"/>
      <c r="S284" s="302">
        <f t="shared" si="11"/>
        <v>0</v>
      </c>
    </row>
    <row r="285" spans="1:19" ht="14.15" customHeight="1">
      <c r="A285" s="71">
        <v>285</v>
      </c>
      <c r="B285" s="67" t="s">
        <v>211</v>
      </c>
      <c r="C285" s="467" t="s">
        <v>621</v>
      </c>
      <c r="D285" s="467" t="s">
        <v>720</v>
      </c>
      <c r="E285" s="67" t="s">
        <v>713</v>
      </c>
      <c r="F285" s="67" t="s">
        <v>224</v>
      </c>
      <c r="G285" s="67" t="s">
        <v>515</v>
      </c>
      <c r="H285" s="67" t="s">
        <v>609</v>
      </c>
      <c r="I285" s="67" t="s">
        <v>70</v>
      </c>
      <c r="J285" s="67" t="s">
        <v>70</v>
      </c>
      <c r="K285" s="67">
        <v>66.2</v>
      </c>
      <c r="L285" s="299">
        <f t="shared" si="10"/>
        <v>0</v>
      </c>
      <c r="M285" s="221" t="s">
        <v>631</v>
      </c>
      <c r="N285" s="220">
        <f>IF(OR(M285="nio",M285="eigen dienst"),0,IF(M285&gt;0,M285*K285/O285,0))*VLOOKUP(B285,'2-Kosten per locatie'!$A$14:$C$33,3,FALSE)</f>
        <v>0</v>
      </c>
      <c r="O285" s="300">
        <f>IF(OR(M285="nio",M285="eigen dienst"),0,IF(M285&gt;0,VLOOKUP(H285,'3-Productie normen'!A:J,VLOOKUP(M285,'3-Productie normen'!$B$34:$C$35,2,FALSE),FALSE)))</f>
        <v>0</v>
      </c>
      <c r="P285" s="301" t="str">
        <f>VLOOKUP(H285,'3-Productie normen'!A:L,12,FALSE)</f>
        <v>L</v>
      </c>
      <c r="Q285" s="301"/>
      <c r="S285" s="302">
        <f t="shared" si="11"/>
        <v>0</v>
      </c>
    </row>
    <row r="286" spans="1:19" ht="14.15" customHeight="1">
      <c r="A286" s="71">
        <v>286</v>
      </c>
      <c r="B286" s="67" t="s">
        <v>211</v>
      </c>
      <c r="C286" s="467" t="s">
        <v>621</v>
      </c>
      <c r="D286" s="467" t="s">
        <v>720</v>
      </c>
      <c r="E286" s="67" t="s">
        <v>713</v>
      </c>
      <c r="F286" s="67" t="s">
        <v>225</v>
      </c>
      <c r="G286" s="67" t="s">
        <v>515</v>
      </c>
      <c r="H286" s="67" t="s">
        <v>609</v>
      </c>
      <c r="I286" s="67" t="s">
        <v>70</v>
      </c>
      <c r="J286" s="67" t="s">
        <v>70</v>
      </c>
      <c r="K286" s="67">
        <v>62.3</v>
      </c>
      <c r="L286" s="299">
        <f t="shared" si="10"/>
        <v>0</v>
      </c>
      <c r="M286" s="221" t="s">
        <v>631</v>
      </c>
      <c r="N286" s="220">
        <f>IF(OR(M286="nio",M286="eigen dienst"),0,IF(M286&gt;0,M286*K286/O286,0))*VLOOKUP(B286,'2-Kosten per locatie'!$A$14:$C$33,3,FALSE)</f>
        <v>0</v>
      </c>
      <c r="O286" s="300">
        <f>IF(OR(M286="nio",M286="eigen dienst"),0,IF(M286&gt;0,VLOOKUP(H286,'3-Productie normen'!A:J,VLOOKUP(M286,'3-Productie normen'!$B$34:$C$35,2,FALSE),FALSE)))</f>
        <v>0</v>
      </c>
      <c r="P286" s="301" t="str">
        <f>VLOOKUP(H286,'3-Productie normen'!A:L,12,FALSE)</f>
        <v>L</v>
      </c>
      <c r="Q286" s="301"/>
      <c r="S286" s="302">
        <f t="shared" si="11"/>
        <v>0</v>
      </c>
    </row>
    <row r="287" spans="1:19" ht="14.15" customHeight="1">
      <c r="A287" s="71">
        <v>287</v>
      </c>
      <c r="B287" s="67" t="s">
        <v>211</v>
      </c>
      <c r="C287" s="467" t="s">
        <v>621</v>
      </c>
      <c r="D287" s="467" t="s">
        <v>720</v>
      </c>
      <c r="E287" s="67" t="s">
        <v>713</v>
      </c>
      <c r="F287" s="67" t="s">
        <v>226</v>
      </c>
      <c r="G287" s="67" t="s">
        <v>515</v>
      </c>
      <c r="H287" s="67" t="s">
        <v>609</v>
      </c>
      <c r="I287" s="67" t="s">
        <v>70</v>
      </c>
      <c r="J287" s="67" t="s">
        <v>70</v>
      </c>
      <c r="K287" s="67">
        <v>57.3</v>
      </c>
      <c r="L287" s="299">
        <f t="shared" si="10"/>
        <v>0</v>
      </c>
      <c r="M287" s="221" t="s">
        <v>631</v>
      </c>
      <c r="N287" s="220">
        <f>IF(OR(M287="nio",M287="eigen dienst"),0,IF(M287&gt;0,M287*K287/O287,0))*VLOOKUP(B287,'2-Kosten per locatie'!$A$14:$C$33,3,FALSE)</f>
        <v>0</v>
      </c>
      <c r="O287" s="300">
        <f>IF(OR(M287="nio",M287="eigen dienst"),0,IF(M287&gt;0,VLOOKUP(H287,'3-Productie normen'!A:J,VLOOKUP(M287,'3-Productie normen'!$B$34:$C$35,2,FALSE),FALSE)))</f>
        <v>0</v>
      </c>
      <c r="P287" s="301" t="str">
        <f>VLOOKUP(H287,'3-Productie normen'!A:L,12,FALSE)</f>
        <v>L</v>
      </c>
      <c r="Q287" s="301"/>
      <c r="S287" s="302">
        <f t="shared" si="11"/>
        <v>0</v>
      </c>
    </row>
    <row r="288" spans="1:19" ht="14.15" customHeight="1">
      <c r="A288" s="71">
        <v>288</v>
      </c>
      <c r="B288" s="67" t="s">
        <v>211</v>
      </c>
      <c r="C288" s="467" t="s">
        <v>621</v>
      </c>
      <c r="D288" s="467" t="s">
        <v>720</v>
      </c>
      <c r="E288" s="67" t="s">
        <v>713</v>
      </c>
      <c r="F288" s="67" t="s">
        <v>227</v>
      </c>
      <c r="G288" s="67" t="s">
        <v>516</v>
      </c>
      <c r="H288" s="67" t="s">
        <v>35</v>
      </c>
      <c r="I288" s="67" t="s">
        <v>180</v>
      </c>
      <c r="J288" s="67" t="s">
        <v>201</v>
      </c>
      <c r="K288" s="67">
        <v>12.9</v>
      </c>
      <c r="L288" s="299">
        <f t="shared" si="10"/>
        <v>0</v>
      </c>
      <c r="M288" s="221" t="s">
        <v>631</v>
      </c>
      <c r="N288" s="220">
        <f>IF(OR(M288="nio",M288="eigen dienst"),0,IF(M288&gt;0,M288*K288/O288,0))*VLOOKUP(B288,'2-Kosten per locatie'!$A$14:$C$33,3,FALSE)</f>
        <v>0</v>
      </c>
      <c r="O288" s="300">
        <f>IF(OR(M288="nio",M288="eigen dienst"),0,IF(M288&gt;0,VLOOKUP(H288,'3-Productie normen'!A:J,VLOOKUP(M288,'3-Productie normen'!$B$34:$C$35,2,FALSE),FALSE)))</f>
        <v>0</v>
      </c>
      <c r="P288" s="301" t="str">
        <f>VLOOKUP(H288,'3-Productie normen'!A:L,12,FALSE)</f>
        <v>B</v>
      </c>
      <c r="Q288" s="301"/>
      <c r="S288" s="302">
        <f t="shared" si="11"/>
        <v>0</v>
      </c>
    </row>
    <row r="289" spans="1:19" ht="14.15" customHeight="1">
      <c r="A289" s="71">
        <v>289</v>
      </c>
      <c r="B289" s="67" t="s">
        <v>212</v>
      </c>
      <c r="C289" s="467" t="s">
        <v>622</v>
      </c>
      <c r="D289" s="467" t="s">
        <v>720</v>
      </c>
      <c r="E289" s="67" t="s">
        <v>713</v>
      </c>
      <c r="F289" s="67" t="s">
        <v>220</v>
      </c>
      <c r="G289" s="67" t="s">
        <v>47</v>
      </c>
      <c r="H289" s="67" t="s">
        <v>47</v>
      </c>
      <c r="I289" s="67" t="s">
        <v>597</v>
      </c>
      <c r="J289" s="67" t="s">
        <v>201</v>
      </c>
      <c r="K289" s="67">
        <v>5.3</v>
      </c>
      <c r="L289" s="299">
        <f t="shared" si="10"/>
        <v>0</v>
      </c>
      <c r="M289" s="221" t="s">
        <v>631</v>
      </c>
      <c r="N289" s="220">
        <f>IF(OR(M289="nio",M289="eigen dienst"),0,IF(M289&gt;0,M289*K289/O289,0))*VLOOKUP(B289,'2-Kosten per locatie'!$A$14:$C$33,3,FALSE)</f>
        <v>0</v>
      </c>
      <c r="O289" s="300">
        <f>IF(OR(M289="nio",M289="eigen dienst"),0,IF(M289&gt;0,VLOOKUP(H289,'3-Productie normen'!A:J,VLOOKUP(M289,'3-Productie normen'!$B$34:$C$35,2,FALSE),FALSE)))</f>
        <v>0</v>
      </c>
      <c r="P289" s="301" t="str">
        <f>VLOOKUP(H289,'3-Productie normen'!A:L,12,FALSE)</f>
        <v>V</v>
      </c>
      <c r="Q289" s="301"/>
      <c r="S289" s="302">
        <f t="shared" si="11"/>
        <v>0</v>
      </c>
    </row>
    <row r="290" spans="1:19" ht="14.15" customHeight="1">
      <c r="A290" s="71">
        <v>290</v>
      </c>
      <c r="B290" s="67" t="s">
        <v>212</v>
      </c>
      <c r="C290" s="467" t="s">
        <v>622</v>
      </c>
      <c r="D290" s="467" t="s">
        <v>720</v>
      </c>
      <c r="E290" s="67" t="s">
        <v>713</v>
      </c>
      <c r="F290" s="67" t="s">
        <v>228</v>
      </c>
      <c r="G290" s="67" t="s">
        <v>514</v>
      </c>
      <c r="H290" s="67" t="s">
        <v>37</v>
      </c>
      <c r="I290" s="67" t="s">
        <v>601</v>
      </c>
      <c r="J290" s="67" t="s">
        <v>179</v>
      </c>
      <c r="K290" s="67">
        <v>5.7</v>
      </c>
      <c r="L290" s="299">
        <f t="shared" ref="L290:L353" si="12">SUM(M290:M290)</f>
        <v>0</v>
      </c>
      <c r="M290" s="221" t="s">
        <v>631</v>
      </c>
      <c r="N290" s="220">
        <f>IF(OR(M290="nio",M290="eigen dienst"),0,IF(M290&gt;0,M290*K290/O290,0))*VLOOKUP(B290,'2-Kosten per locatie'!$A$14:$C$33,3,FALSE)</f>
        <v>0</v>
      </c>
      <c r="O290" s="300">
        <f>IF(OR(M290="nio",M290="eigen dienst"),0,IF(M290&gt;0,VLOOKUP(H290,'3-Productie normen'!A:J,VLOOKUP(M290,'3-Productie normen'!$B$34:$C$35,2,FALSE),FALSE)))</f>
        <v>0</v>
      </c>
      <c r="P290" s="301" t="str">
        <f>VLOOKUP(H290,'3-Productie normen'!A:L,12,FALSE)</f>
        <v>S</v>
      </c>
      <c r="Q290" s="301"/>
      <c r="S290" s="302">
        <f t="shared" ref="S290:S353" si="13">L290*K290</f>
        <v>0</v>
      </c>
    </row>
    <row r="291" spans="1:19" ht="14.15" customHeight="1">
      <c r="A291" s="71">
        <v>291</v>
      </c>
      <c r="B291" s="67" t="s">
        <v>212</v>
      </c>
      <c r="C291" s="467" t="s">
        <v>622</v>
      </c>
      <c r="D291" s="467" t="s">
        <v>720</v>
      </c>
      <c r="E291" s="67" t="s">
        <v>713</v>
      </c>
      <c r="F291" s="67" t="s">
        <v>229</v>
      </c>
      <c r="G291" s="67" t="s">
        <v>514</v>
      </c>
      <c r="H291" s="67" t="s">
        <v>37</v>
      </c>
      <c r="I291" s="67" t="s">
        <v>601</v>
      </c>
      <c r="J291" s="67" t="s">
        <v>179</v>
      </c>
      <c r="K291" s="67">
        <v>5.7</v>
      </c>
      <c r="L291" s="299">
        <f t="shared" si="12"/>
        <v>0</v>
      </c>
      <c r="M291" s="221" t="s">
        <v>631</v>
      </c>
      <c r="N291" s="220">
        <f>IF(OR(M291="nio",M291="eigen dienst"),0,IF(M291&gt;0,M291*K291/O291,0))*VLOOKUP(B291,'2-Kosten per locatie'!$A$14:$C$33,3,FALSE)</f>
        <v>0</v>
      </c>
      <c r="O291" s="300">
        <f>IF(OR(M291="nio",M291="eigen dienst"),0,IF(M291&gt;0,VLOOKUP(H291,'3-Productie normen'!A:J,VLOOKUP(M291,'3-Productie normen'!$B$34:$C$35,2,FALSE),FALSE)))</f>
        <v>0</v>
      </c>
      <c r="P291" s="301" t="str">
        <f>VLOOKUP(H291,'3-Productie normen'!A:L,12,FALSE)</f>
        <v>S</v>
      </c>
      <c r="Q291" s="301"/>
      <c r="S291" s="302">
        <f t="shared" si="13"/>
        <v>0</v>
      </c>
    </row>
    <row r="292" spans="1:19" ht="14.15" customHeight="1">
      <c r="A292" s="71">
        <v>292</v>
      </c>
      <c r="B292" s="67" t="s">
        <v>212</v>
      </c>
      <c r="C292" s="467" t="s">
        <v>622</v>
      </c>
      <c r="D292" s="467" t="s">
        <v>720</v>
      </c>
      <c r="E292" s="67" t="s">
        <v>713</v>
      </c>
      <c r="F292" s="67" t="s">
        <v>230</v>
      </c>
      <c r="G292" s="67" t="s">
        <v>515</v>
      </c>
      <c r="H292" s="67" t="s">
        <v>609</v>
      </c>
      <c r="I292" s="67" t="s">
        <v>70</v>
      </c>
      <c r="J292" s="67" t="s">
        <v>70</v>
      </c>
      <c r="K292" s="67">
        <v>67</v>
      </c>
      <c r="L292" s="299">
        <f t="shared" si="12"/>
        <v>0</v>
      </c>
      <c r="M292" s="221" t="s">
        <v>631</v>
      </c>
      <c r="N292" s="220">
        <f>IF(OR(M292="nio",M292="eigen dienst"),0,IF(M292&gt;0,M292*K292/O292,0))*VLOOKUP(B292,'2-Kosten per locatie'!$A$14:$C$33,3,FALSE)</f>
        <v>0</v>
      </c>
      <c r="O292" s="300">
        <f>IF(OR(M292="nio",M292="eigen dienst"),0,IF(M292&gt;0,VLOOKUP(H292,'3-Productie normen'!A:J,VLOOKUP(M292,'3-Productie normen'!$B$34:$C$35,2,FALSE),FALSE)))</f>
        <v>0</v>
      </c>
      <c r="P292" s="301" t="str">
        <f>VLOOKUP(H292,'3-Productie normen'!A:L,12,FALSE)</f>
        <v>L</v>
      </c>
      <c r="Q292" s="301"/>
      <c r="S292" s="302">
        <f t="shared" si="13"/>
        <v>0</v>
      </c>
    </row>
    <row r="293" spans="1:19" ht="14.15" customHeight="1">
      <c r="A293" s="71">
        <v>293</v>
      </c>
      <c r="B293" s="67" t="s">
        <v>212</v>
      </c>
      <c r="C293" s="467" t="s">
        <v>622</v>
      </c>
      <c r="D293" s="467" t="s">
        <v>720</v>
      </c>
      <c r="E293" s="67" t="s">
        <v>713</v>
      </c>
      <c r="F293" s="67" t="s">
        <v>231</v>
      </c>
      <c r="G293" s="67" t="s">
        <v>515</v>
      </c>
      <c r="H293" s="67" t="s">
        <v>609</v>
      </c>
      <c r="I293" s="67" t="s">
        <v>70</v>
      </c>
      <c r="J293" s="67" t="s">
        <v>70</v>
      </c>
      <c r="K293" s="67">
        <v>63.8</v>
      </c>
      <c r="L293" s="299">
        <f t="shared" si="12"/>
        <v>0</v>
      </c>
      <c r="M293" s="221" t="s">
        <v>631</v>
      </c>
      <c r="N293" s="220">
        <f>IF(OR(M293="nio",M293="eigen dienst"),0,IF(M293&gt;0,M293*K293/O293,0))*VLOOKUP(B293,'2-Kosten per locatie'!$A$14:$C$33,3,FALSE)</f>
        <v>0</v>
      </c>
      <c r="O293" s="300">
        <f>IF(OR(M293="nio",M293="eigen dienst"),0,IF(M293&gt;0,VLOOKUP(H293,'3-Productie normen'!A:J,VLOOKUP(M293,'3-Productie normen'!$B$34:$C$35,2,FALSE),FALSE)))</f>
        <v>0</v>
      </c>
      <c r="P293" s="301" t="str">
        <f>VLOOKUP(H293,'3-Productie normen'!A:L,12,FALSE)</f>
        <v>L</v>
      </c>
      <c r="Q293" s="301"/>
      <c r="S293" s="302">
        <f t="shared" si="13"/>
        <v>0</v>
      </c>
    </row>
    <row r="294" spans="1:19" ht="14.15" customHeight="1">
      <c r="A294" s="71">
        <v>294</v>
      </c>
      <c r="B294" s="67" t="s">
        <v>212</v>
      </c>
      <c r="C294" s="467" t="s">
        <v>622</v>
      </c>
      <c r="D294" s="467" t="s">
        <v>720</v>
      </c>
      <c r="E294" s="67" t="s">
        <v>713</v>
      </c>
      <c r="F294" s="67" t="s">
        <v>232</v>
      </c>
      <c r="G294" s="67" t="s">
        <v>515</v>
      </c>
      <c r="H294" s="67" t="s">
        <v>609</v>
      </c>
      <c r="I294" s="67" t="s">
        <v>70</v>
      </c>
      <c r="J294" s="67" t="s">
        <v>70</v>
      </c>
      <c r="K294" s="67">
        <v>65.099999999999994</v>
      </c>
      <c r="L294" s="299">
        <f t="shared" si="12"/>
        <v>0</v>
      </c>
      <c r="M294" s="221" t="s">
        <v>631</v>
      </c>
      <c r="N294" s="220">
        <f>IF(OR(M294="nio",M294="eigen dienst"),0,IF(M294&gt;0,M294*K294/O294,0))*VLOOKUP(B294,'2-Kosten per locatie'!$A$14:$C$33,3,FALSE)</f>
        <v>0</v>
      </c>
      <c r="O294" s="300">
        <f>IF(OR(M294="nio",M294="eigen dienst"),0,IF(M294&gt;0,VLOOKUP(H294,'3-Productie normen'!A:J,VLOOKUP(M294,'3-Productie normen'!$B$34:$C$35,2,FALSE),FALSE)))</f>
        <v>0</v>
      </c>
      <c r="P294" s="301" t="str">
        <f>VLOOKUP(H294,'3-Productie normen'!A:L,12,FALSE)</f>
        <v>L</v>
      </c>
      <c r="Q294" s="301"/>
      <c r="S294" s="302">
        <f t="shared" si="13"/>
        <v>0</v>
      </c>
    </row>
    <row r="295" spans="1:19" ht="14.15" customHeight="1">
      <c r="A295" s="71">
        <v>295</v>
      </c>
      <c r="B295" s="67" t="s">
        <v>212</v>
      </c>
      <c r="C295" s="467" t="s">
        <v>622</v>
      </c>
      <c r="D295" s="467" t="s">
        <v>720</v>
      </c>
      <c r="E295" s="67" t="s">
        <v>713</v>
      </c>
      <c r="F295" s="67" t="s">
        <v>233</v>
      </c>
      <c r="G295" s="67" t="s">
        <v>515</v>
      </c>
      <c r="H295" s="67" t="s">
        <v>609</v>
      </c>
      <c r="I295" s="67" t="s">
        <v>70</v>
      </c>
      <c r="J295" s="67" t="s">
        <v>70</v>
      </c>
      <c r="K295" s="67">
        <v>56.2</v>
      </c>
      <c r="L295" s="299">
        <f t="shared" si="12"/>
        <v>0</v>
      </c>
      <c r="M295" s="221" t="s">
        <v>631</v>
      </c>
      <c r="N295" s="220">
        <f>IF(OR(M295="nio",M295="eigen dienst"),0,IF(M295&gt;0,M295*K295/O295,0))*VLOOKUP(B295,'2-Kosten per locatie'!$A$14:$C$33,3,FALSE)</f>
        <v>0</v>
      </c>
      <c r="O295" s="300">
        <f>IF(OR(M295="nio",M295="eigen dienst"),0,IF(M295&gt;0,VLOOKUP(H295,'3-Productie normen'!A:J,VLOOKUP(M295,'3-Productie normen'!$B$34:$C$35,2,FALSE),FALSE)))</f>
        <v>0</v>
      </c>
      <c r="P295" s="301" t="str">
        <f>VLOOKUP(H295,'3-Productie normen'!A:L,12,FALSE)</f>
        <v>L</v>
      </c>
      <c r="Q295" s="301"/>
      <c r="S295" s="302">
        <f t="shared" si="13"/>
        <v>0</v>
      </c>
    </row>
    <row r="296" spans="1:19" ht="14.15" customHeight="1">
      <c r="A296" s="71">
        <v>296</v>
      </c>
      <c r="B296" s="67" t="s">
        <v>212</v>
      </c>
      <c r="C296" s="467" t="s">
        <v>622</v>
      </c>
      <c r="D296" s="467" t="s">
        <v>720</v>
      </c>
      <c r="E296" s="67" t="s">
        <v>713</v>
      </c>
      <c r="F296" s="67" t="s">
        <v>234</v>
      </c>
      <c r="G296" s="67" t="s">
        <v>515</v>
      </c>
      <c r="H296" s="67" t="s">
        <v>609</v>
      </c>
      <c r="I296" s="67" t="s">
        <v>70</v>
      </c>
      <c r="J296" s="67" t="s">
        <v>70</v>
      </c>
      <c r="K296" s="67">
        <v>56.2</v>
      </c>
      <c r="L296" s="299">
        <f t="shared" si="12"/>
        <v>0</v>
      </c>
      <c r="M296" s="221" t="s">
        <v>631</v>
      </c>
      <c r="N296" s="220">
        <f>IF(OR(M296="nio",M296="eigen dienst"),0,IF(M296&gt;0,M296*K296/O296,0))*VLOOKUP(B296,'2-Kosten per locatie'!$A$14:$C$33,3,FALSE)</f>
        <v>0</v>
      </c>
      <c r="O296" s="300">
        <f>IF(OR(M296="nio",M296="eigen dienst"),0,IF(M296&gt;0,VLOOKUP(H296,'3-Productie normen'!A:J,VLOOKUP(M296,'3-Productie normen'!$B$34:$C$35,2,FALSE),FALSE)))</f>
        <v>0</v>
      </c>
      <c r="P296" s="301" t="str">
        <f>VLOOKUP(H296,'3-Productie normen'!A:L,12,FALSE)</f>
        <v>L</v>
      </c>
      <c r="Q296" s="301"/>
      <c r="S296" s="302">
        <f t="shared" si="13"/>
        <v>0</v>
      </c>
    </row>
    <row r="297" spans="1:19" ht="14.15" customHeight="1">
      <c r="A297" s="71">
        <v>297</v>
      </c>
      <c r="B297" s="67" t="s">
        <v>212</v>
      </c>
      <c r="C297" s="467" t="s">
        <v>622</v>
      </c>
      <c r="D297" s="467" t="s">
        <v>720</v>
      </c>
      <c r="E297" s="67" t="s">
        <v>713</v>
      </c>
      <c r="F297" s="67" t="s">
        <v>235</v>
      </c>
      <c r="G297" s="67" t="s">
        <v>515</v>
      </c>
      <c r="H297" s="67" t="s">
        <v>609</v>
      </c>
      <c r="I297" s="67" t="s">
        <v>70</v>
      </c>
      <c r="J297" s="67" t="s">
        <v>70</v>
      </c>
      <c r="K297" s="67">
        <v>56.2</v>
      </c>
      <c r="L297" s="299">
        <f t="shared" si="12"/>
        <v>0</v>
      </c>
      <c r="M297" s="221" t="s">
        <v>631</v>
      </c>
      <c r="N297" s="220">
        <f>IF(OR(M297="nio",M297="eigen dienst"),0,IF(M297&gt;0,M297*K297/O297,0))*VLOOKUP(B297,'2-Kosten per locatie'!$A$14:$C$33,3,FALSE)</f>
        <v>0</v>
      </c>
      <c r="O297" s="300">
        <f>IF(OR(M297="nio",M297="eigen dienst"),0,IF(M297&gt;0,VLOOKUP(H297,'3-Productie normen'!A:J,VLOOKUP(M297,'3-Productie normen'!$B$34:$C$35,2,FALSE),FALSE)))</f>
        <v>0</v>
      </c>
      <c r="P297" s="301" t="str">
        <f>VLOOKUP(H297,'3-Productie normen'!A:L,12,FALSE)</f>
        <v>L</v>
      </c>
      <c r="Q297" s="301"/>
      <c r="S297" s="302">
        <f t="shared" si="13"/>
        <v>0</v>
      </c>
    </row>
    <row r="298" spans="1:19" ht="14.15" customHeight="1">
      <c r="A298" s="71">
        <v>298</v>
      </c>
      <c r="B298" s="67" t="s">
        <v>212</v>
      </c>
      <c r="C298" s="467" t="s">
        <v>622</v>
      </c>
      <c r="D298" s="467" t="s">
        <v>720</v>
      </c>
      <c r="E298" s="67" t="s">
        <v>713</v>
      </c>
      <c r="F298" s="67" t="s">
        <v>236</v>
      </c>
      <c r="G298" s="67" t="s">
        <v>515</v>
      </c>
      <c r="H298" s="67" t="s">
        <v>609</v>
      </c>
      <c r="I298" s="67" t="s">
        <v>70</v>
      </c>
      <c r="J298" s="67" t="s">
        <v>70</v>
      </c>
      <c r="K298" s="67">
        <v>56.2</v>
      </c>
      <c r="L298" s="299">
        <f t="shared" si="12"/>
        <v>0</v>
      </c>
      <c r="M298" s="221" t="s">
        <v>631</v>
      </c>
      <c r="N298" s="220">
        <f>IF(OR(M298="nio",M298="eigen dienst"),0,IF(M298&gt;0,M298*K298/O298,0))*VLOOKUP(B298,'2-Kosten per locatie'!$A$14:$C$33,3,FALSE)</f>
        <v>0</v>
      </c>
      <c r="O298" s="300">
        <f>IF(OR(M298="nio",M298="eigen dienst"),0,IF(M298&gt;0,VLOOKUP(H298,'3-Productie normen'!A:J,VLOOKUP(M298,'3-Productie normen'!$B$34:$C$35,2,FALSE),FALSE)))</f>
        <v>0</v>
      </c>
      <c r="P298" s="301" t="str">
        <f>VLOOKUP(H298,'3-Productie normen'!A:L,12,FALSE)</f>
        <v>L</v>
      </c>
      <c r="Q298" s="301"/>
      <c r="S298" s="302">
        <f t="shared" si="13"/>
        <v>0</v>
      </c>
    </row>
    <row r="299" spans="1:19" ht="14.15" customHeight="1">
      <c r="A299" s="71">
        <v>299</v>
      </c>
      <c r="B299" s="67" t="s">
        <v>212</v>
      </c>
      <c r="C299" s="467" t="s">
        <v>622</v>
      </c>
      <c r="D299" s="467" t="s">
        <v>720</v>
      </c>
      <c r="E299" s="67" t="s">
        <v>713</v>
      </c>
      <c r="F299" s="67" t="s">
        <v>237</v>
      </c>
      <c r="G299" s="67" t="s">
        <v>514</v>
      </c>
      <c r="H299" s="67" t="s">
        <v>37</v>
      </c>
      <c r="I299" s="67" t="s">
        <v>601</v>
      </c>
      <c r="J299" s="67" t="s">
        <v>179</v>
      </c>
      <c r="K299" s="67">
        <v>12.7</v>
      </c>
      <c r="L299" s="299">
        <f t="shared" si="12"/>
        <v>0</v>
      </c>
      <c r="M299" s="221" t="s">
        <v>631</v>
      </c>
      <c r="N299" s="220">
        <f>IF(OR(M299="nio",M299="eigen dienst"),0,IF(M299&gt;0,M299*K299/O299,0))*VLOOKUP(B299,'2-Kosten per locatie'!$A$14:$C$33,3,FALSE)</f>
        <v>0</v>
      </c>
      <c r="O299" s="300">
        <f>IF(OR(M299="nio",M299="eigen dienst"),0,IF(M299&gt;0,VLOOKUP(H299,'3-Productie normen'!A:J,VLOOKUP(M299,'3-Productie normen'!$B$34:$C$35,2,FALSE),FALSE)))</f>
        <v>0</v>
      </c>
      <c r="P299" s="301" t="str">
        <f>VLOOKUP(H299,'3-Productie normen'!A:L,12,FALSE)</f>
        <v>S</v>
      </c>
      <c r="Q299" s="301"/>
      <c r="S299" s="302">
        <f t="shared" si="13"/>
        <v>0</v>
      </c>
    </row>
    <row r="300" spans="1:19" ht="14.15" customHeight="1">
      <c r="A300" s="71">
        <v>300</v>
      </c>
      <c r="B300" s="67" t="s">
        <v>212</v>
      </c>
      <c r="C300" s="467" t="s">
        <v>622</v>
      </c>
      <c r="D300" s="467" t="s">
        <v>720</v>
      </c>
      <c r="E300" s="67" t="s">
        <v>713</v>
      </c>
      <c r="F300" s="67" t="s">
        <v>221</v>
      </c>
      <c r="G300" s="67" t="s">
        <v>516</v>
      </c>
      <c r="H300" s="67" t="s">
        <v>35</v>
      </c>
      <c r="I300" s="67" t="s">
        <v>180</v>
      </c>
      <c r="J300" s="67" t="s">
        <v>201</v>
      </c>
      <c r="K300" s="67">
        <v>16.399999999999999</v>
      </c>
      <c r="L300" s="299">
        <f t="shared" si="12"/>
        <v>0</v>
      </c>
      <c r="M300" s="221" t="s">
        <v>631</v>
      </c>
      <c r="N300" s="220">
        <f>IF(OR(M300="nio",M300="eigen dienst"),0,IF(M300&gt;0,M300*K300/O300,0))*VLOOKUP(B300,'2-Kosten per locatie'!$A$14:$C$33,3,FALSE)</f>
        <v>0</v>
      </c>
      <c r="O300" s="300">
        <f>IF(OR(M300="nio",M300="eigen dienst"),0,IF(M300&gt;0,VLOOKUP(H300,'3-Productie normen'!A:J,VLOOKUP(M300,'3-Productie normen'!$B$34:$C$35,2,FALSE),FALSE)))</f>
        <v>0</v>
      </c>
      <c r="P300" s="301" t="str">
        <f>VLOOKUP(H300,'3-Productie normen'!A:L,12,FALSE)</f>
        <v>B</v>
      </c>
      <c r="Q300" s="301"/>
      <c r="S300" s="302">
        <f t="shared" si="13"/>
        <v>0</v>
      </c>
    </row>
    <row r="301" spans="1:19" ht="14.15" customHeight="1">
      <c r="A301" s="71">
        <v>301</v>
      </c>
      <c r="B301" s="67" t="s">
        <v>212</v>
      </c>
      <c r="C301" s="467" t="s">
        <v>622</v>
      </c>
      <c r="D301" s="467" t="s">
        <v>720</v>
      </c>
      <c r="E301" s="67" t="s">
        <v>713</v>
      </c>
      <c r="F301" s="67" t="s">
        <v>238</v>
      </c>
      <c r="G301" s="67" t="s">
        <v>514</v>
      </c>
      <c r="H301" s="67" t="s">
        <v>37</v>
      </c>
      <c r="I301" s="67" t="s">
        <v>601</v>
      </c>
      <c r="J301" s="67" t="s">
        <v>179</v>
      </c>
      <c r="K301" s="67">
        <v>12.7</v>
      </c>
      <c r="L301" s="299">
        <f t="shared" si="12"/>
        <v>0</v>
      </c>
      <c r="M301" s="221" t="s">
        <v>631</v>
      </c>
      <c r="N301" s="220">
        <f>IF(OR(M301="nio",M301="eigen dienst"),0,IF(M301&gt;0,M301*K301/O301,0))*VLOOKUP(B301,'2-Kosten per locatie'!$A$14:$C$33,3,FALSE)</f>
        <v>0</v>
      </c>
      <c r="O301" s="300">
        <f>IF(OR(M301="nio",M301="eigen dienst"),0,IF(M301&gt;0,VLOOKUP(H301,'3-Productie normen'!A:J,VLOOKUP(M301,'3-Productie normen'!$B$34:$C$35,2,FALSE),FALSE)))</f>
        <v>0</v>
      </c>
      <c r="P301" s="301" t="str">
        <f>VLOOKUP(H301,'3-Productie normen'!A:L,12,FALSE)</f>
        <v>S</v>
      </c>
      <c r="Q301" s="301"/>
      <c r="S301" s="302">
        <f t="shared" si="13"/>
        <v>0</v>
      </c>
    </row>
    <row r="302" spans="1:19" ht="14.15" customHeight="1">
      <c r="A302" s="71">
        <v>302</v>
      </c>
      <c r="B302" s="67" t="s">
        <v>212</v>
      </c>
      <c r="C302" s="467" t="s">
        <v>622</v>
      </c>
      <c r="D302" s="467" t="s">
        <v>720</v>
      </c>
      <c r="E302" s="67" t="s">
        <v>713</v>
      </c>
      <c r="F302" s="67" t="s">
        <v>239</v>
      </c>
      <c r="G302" s="67" t="s">
        <v>47</v>
      </c>
      <c r="H302" s="67" t="s">
        <v>47</v>
      </c>
      <c r="I302" s="67" t="s">
        <v>597</v>
      </c>
      <c r="J302" s="67" t="s">
        <v>201</v>
      </c>
      <c r="K302" s="67">
        <v>7</v>
      </c>
      <c r="L302" s="299">
        <f t="shared" si="12"/>
        <v>0</v>
      </c>
      <c r="M302" s="221" t="s">
        <v>631</v>
      </c>
      <c r="N302" s="220">
        <f>IF(OR(M302="nio",M302="eigen dienst"),0,IF(M302&gt;0,M302*K302/O302,0))*VLOOKUP(B302,'2-Kosten per locatie'!$A$14:$C$33,3,FALSE)</f>
        <v>0</v>
      </c>
      <c r="O302" s="300">
        <f>IF(OR(M302="nio",M302="eigen dienst"),0,IF(M302&gt;0,VLOOKUP(H302,'3-Productie normen'!A:J,VLOOKUP(M302,'3-Productie normen'!$B$34:$C$35,2,FALSE),FALSE)))</f>
        <v>0</v>
      </c>
      <c r="P302" s="301" t="str">
        <f>VLOOKUP(H302,'3-Productie normen'!A:L,12,FALSE)</f>
        <v>V</v>
      </c>
      <c r="Q302" s="301"/>
      <c r="S302" s="302">
        <f t="shared" si="13"/>
        <v>0</v>
      </c>
    </row>
    <row r="303" spans="1:19" ht="14.15" customHeight="1">
      <c r="A303" s="71">
        <v>303</v>
      </c>
      <c r="B303" s="67" t="s">
        <v>212</v>
      </c>
      <c r="C303" s="467" t="s">
        <v>622</v>
      </c>
      <c r="D303" s="467" t="s">
        <v>720</v>
      </c>
      <c r="E303" s="67" t="s">
        <v>713</v>
      </c>
      <c r="F303" s="67" t="s">
        <v>240</v>
      </c>
      <c r="G303" s="67" t="s">
        <v>515</v>
      </c>
      <c r="H303" s="67" t="s">
        <v>609</v>
      </c>
      <c r="I303" s="67" t="s">
        <v>70</v>
      </c>
      <c r="J303" s="67" t="s">
        <v>70</v>
      </c>
      <c r="K303" s="67">
        <v>61.5</v>
      </c>
      <c r="L303" s="299">
        <f t="shared" si="12"/>
        <v>0</v>
      </c>
      <c r="M303" s="221" t="s">
        <v>631</v>
      </c>
      <c r="N303" s="220">
        <f>IF(OR(M303="nio",M303="eigen dienst"),0,IF(M303&gt;0,M303*K303/O303,0))*VLOOKUP(B303,'2-Kosten per locatie'!$A$14:$C$33,3,FALSE)</f>
        <v>0</v>
      </c>
      <c r="O303" s="300">
        <f>IF(OR(M303="nio",M303="eigen dienst"),0,IF(M303&gt;0,VLOOKUP(H303,'3-Productie normen'!A:J,VLOOKUP(M303,'3-Productie normen'!$B$34:$C$35,2,FALSE),FALSE)))</f>
        <v>0</v>
      </c>
      <c r="P303" s="301" t="str">
        <f>VLOOKUP(H303,'3-Productie normen'!A:L,12,FALSE)</f>
        <v>L</v>
      </c>
      <c r="Q303" s="301"/>
      <c r="S303" s="302">
        <f t="shared" si="13"/>
        <v>0</v>
      </c>
    </row>
    <row r="304" spans="1:19" ht="14.15" customHeight="1">
      <c r="A304" s="71">
        <v>304</v>
      </c>
      <c r="B304" s="67" t="s">
        <v>212</v>
      </c>
      <c r="C304" s="467" t="s">
        <v>622</v>
      </c>
      <c r="D304" s="467" t="s">
        <v>720</v>
      </c>
      <c r="E304" s="67" t="s">
        <v>713</v>
      </c>
      <c r="F304" s="67" t="s">
        <v>241</v>
      </c>
      <c r="G304" s="67" t="s">
        <v>518</v>
      </c>
      <c r="H304" s="67" t="s">
        <v>44</v>
      </c>
      <c r="I304" s="67" t="s">
        <v>70</v>
      </c>
      <c r="J304" s="67" t="s">
        <v>70</v>
      </c>
      <c r="K304" s="67">
        <v>5.4</v>
      </c>
      <c r="L304" s="299">
        <f t="shared" si="12"/>
        <v>0</v>
      </c>
      <c r="M304" s="221" t="s">
        <v>631</v>
      </c>
      <c r="N304" s="220">
        <f>IF(OR(M304="nio",M304="eigen dienst"),0,IF(M304&gt;0,M304*K304/O304,0))*VLOOKUP(B304,'2-Kosten per locatie'!$A$14:$C$33,3,FALSE)</f>
        <v>0</v>
      </c>
      <c r="O304" s="300">
        <f>IF(OR(M304="nio",M304="eigen dienst"),0,IF(M304&gt;0,VLOOKUP(H304,'3-Productie normen'!A:J,VLOOKUP(M304,'3-Productie normen'!$B$34:$C$35,2,FALSE),FALSE)))</f>
        <v>0</v>
      </c>
      <c r="P304" s="301" t="str">
        <f>VLOOKUP(H304,'3-Productie normen'!A:L,12,FALSE)</f>
        <v>V</v>
      </c>
      <c r="Q304" s="301"/>
      <c r="S304" s="302">
        <f t="shared" si="13"/>
        <v>0</v>
      </c>
    </row>
    <row r="305" spans="1:19" ht="14.15" customHeight="1">
      <c r="A305" s="71">
        <v>305</v>
      </c>
      <c r="B305" s="67" t="s">
        <v>212</v>
      </c>
      <c r="C305" s="467" t="s">
        <v>622</v>
      </c>
      <c r="D305" s="467" t="s">
        <v>720</v>
      </c>
      <c r="E305" s="67" t="s">
        <v>713</v>
      </c>
      <c r="F305" s="67" t="s">
        <v>242</v>
      </c>
      <c r="G305" s="67" t="s">
        <v>584</v>
      </c>
      <c r="H305" s="67" t="s">
        <v>609</v>
      </c>
      <c r="I305" s="67" t="s">
        <v>202</v>
      </c>
      <c r="J305" s="67" t="s">
        <v>200</v>
      </c>
      <c r="K305" s="67">
        <v>18.3</v>
      </c>
      <c r="L305" s="299">
        <f t="shared" si="12"/>
        <v>0</v>
      </c>
      <c r="M305" s="221" t="s">
        <v>631</v>
      </c>
      <c r="N305" s="220">
        <f>IF(OR(M305="nio",M305="eigen dienst"),0,IF(M305&gt;0,M305*K305/O305,0))*VLOOKUP(B305,'2-Kosten per locatie'!$A$14:$C$33,3,FALSE)</f>
        <v>0</v>
      </c>
      <c r="O305" s="300">
        <f>IF(OR(M305="nio",M305="eigen dienst"),0,IF(M305&gt;0,VLOOKUP(H305,'3-Productie normen'!A:J,VLOOKUP(M305,'3-Productie normen'!$B$34:$C$35,2,FALSE),FALSE)))</f>
        <v>0</v>
      </c>
      <c r="P305" s="301" t="str">
        <f>VLOOKUP(H305,'3-Productie normen'!A:L,12,FALSE)</f>
        <v>L</v>
      </c>
      <c r="Q305" s="301"/>
      <c r="S305" s="302">
        <f t="shared" si="13"/>
        <v>0</v>
      </c>
    </row>
    <row r="306" spans="1:19" ht="14.15" customHeight="1">
      <c r="A306" s="71">
        <v>306</v>
      </c>
      <c r="B306" s="67" t="s">
        <v>212</v>
      </c>
      <c r="C306" s="467" t="s">
        <v>622</v>
      </c>
      <c r="D306" s="467" t="s">
        <v>720</v>
      </c>
      <c r="E306" s="67" t="s">
        <v>713</v>
      </c>
      <c r="F306" s="67" t="s">
        <v>502</v>
      </c>
      <c r="G306" s="67" t="s">
        <v>514</v>
      </c>
      <c r="H306" s="67" t="s">
        <v>37</v>
      </c>
      <c r="I306" s="67" t="s">
        <v>601</v>
      </c>
      <c r="J306" s="67" t="s">
        <v>179</v>
      </c>
      <c r="K306" s="67">
        <v>1.6</v>
      </c>
      <c r="L306" s="299">
        <f t="shared" si="12"/>
        <v>0</v>
      </c>
      <c r="M306" s="221" t="s">
        <v>631</v>
      </c>
      <c r="N306" s="220">
        <f>IF(OR(M306="nio",M306="eigen dienst"),0,IF(M306&gt;0,M306*K306/O306,0))*VLOOKUP(B306,'2-Kosten per locatie'!$A$14:$C$33,3,FALSE)</f>
        <v>0</v>
      </c>
      <c r="O306" s="300">
        <f>IF(OR(M306="nio",M306="eigen dienst"),0,IF(M306&gt;0,VLOOKUP(H306,'3-Productie normen'!A:J,VLOOKUP(M306,'3-Productie normen'!$B$34:$C$35,2,FALSE),FALSE)))</f>
        <v>0</v>
      </c>
      <c r="P306" s="301" t="str">
        <f>VLOOKUP(H306,'3-Productie normen'!A:L,12,FALSE)</f>
        <v>S</v>
      </c>
      <c r="Q306" s="301"/>
      <c r="S306" s="302">
        <f t="shared" si="13"/>
        <v>0</v>
      </c>
    </row>
    <row r="307" spans="1:19" ht="14.15" customHeight="1">
      <c r="A307" s="71">
        <v>307</v>
      </c>
      <c r="B307" s="67" t="s">
        <v>212</v>
      </c>
      <c r="C307" s="467" t="s">
        <v>622</v>
      </c>
      <c r="D307" s="467" t="s">
        <v>720</v>
      </c>
      <c r="E307" s="67" t="s">
        <v>713</v>
      </c>
      <c r="F307" s="67" t="s">
        <v>503</v>
      </c>
      <c r="G307" s="67" t="s">
        <v>536</v>
      </c>
      <c r="H307" s="67" t="s">
        <v>39</v>
      </c>
      <c r="I307" s="67" t="s">
        <v>70</v>
      </c>
      <c r="J307" s="67" t="s">
        <v>70</v>
      </c>
      <c r="K307" s="67">
        <v>1.6</v>
      </c>
      <c r="L307" s="299">
        <f t="shared" si="12"/>
        <v>0</v>
      </c>
      <c r="M307" s="221" t="s">
        <v>631</v>
      </c>
      <c r="N307" s="220">
        <f>IF(OR(M307="nio",M307="eigen dienst"),0,IF(M307&gt;0,M307*K307/O307,0))*VLOOKUP(B307,'2-Kosten per locatie'!$A$14:$C$33,3,FALSE)</f>
        <v>0</v>
      </c>
      <c r="O307" s="300">
        <f>IF(OR(M307="nio",M307="eigen dienst"),0,IF(M307&gt;0,VLOOKUP(H307,'3-Productie normen'!A:J,VLOOKUP(M307,'3-Productie normen'!$B$34:$C$35,2,FALSE),FALSE)))</f>
        <v>0</v>
      </c>
      <c r="P307" s="301" t="str">
        <f>VLOOKUP(H307,'3-Productie normen'!A:L,12,FALSE)</f>
        <v>V</v>
      </c>
      <c r="Q307" s="301"/>
      <c r="S307" s="302">
        <f t="shared" si="13"/>
        <v>0</v>
      </c>
    </row>
    <row r="308" spans="1:19" ht="14.15" customHeight="1">
      <c r="A308" s="71">
        <v>308</v>
      </c>
      <c r="B308" s="67" t="s">
        <v>212</v>
      </c>
      <c r="C308" s="467" t="s">
        <v>622</v>
      </c>
      <c r="D308" s="467" t="s">
        <v>720</v>
      </c>
      <c r="E308" s="67" t="s">
        <v>713</v>
      </c>
      <c r="F308" s="67" t="s">
        <v>244</v>
      </c>
      <c r="G308" s="67" t="s">
        <v>518</v>
      </c>
      <c r="H308" s="67" t="s">
        <v>44</v>
      </c>
      <c r="I308" s="67" t="s">
        <v>70</v>
      </c>
      <c r="J308" s="67" t="s">
        <v>70</v>
      </c>
      <c r="K308" s="67">
        <v>1.4</v>
      </c>
      <c r="L308" s="299">
        <f t="shared" si="12"/>
        <v>0</v>
      </c>
      <c r="M308" s="221" t="s">
        <v>631</v>
      </c>
      <c r="N308" s="220">
        <f>IF(OR(M308="nio",M308="eigen dienst"),0,IF(M308&gt;0,M308*K308/O308,0))*VLOOKUP(B308,'2-Kosten per locatie'!$A$14:$C$33,3,FALSE)</f>
        <v>0</v>
      </c>
      <c r="O308" s="300">
        <f>IF(OR(M308="nio",M308="eigen dienst"),0,IF(M308&gt;0,VLOOKUP(H308,'3-Productie normen'!A:J,VLOOKUP(M308,'3-Productie normen'!$B$34:$C$35,2,FALSE),FALSE)))</f>
        <v>0</v>
      </c>
      <c r="P308" s="301" t="str">
        <f>VLOOKUP(H308,'3-Productie normen'!A:L,12,FALSE)</f>
        <v>V</v>
      </c>
      <c r="Q308" s="301"/>
      <c r="S308" s="302">
        <f t="shared" si="13"/>
        <v>0</v>
      </c>
    </row>
    <row r="309" spans="1:19" ht="14.15" customHeight="1">
      <c r="A309" s="71">
        <v>309</v>
      </c>
      <c r="B309" s="67" t="s">
        <v>212</v>
      </c>
      <c r="C309" s="467" t="s">
        <v>622</v>
      </c>
      <c r="D309" s="467" t="s">
        <v>720</v>
      </c>
      <c r="E309" s="67" t="s">
        <v>713</v>
      </c>
      <c r="F309" s="67" t="s">
        <v>504</v>
      </c>
      <c r="G309" s="67" t="s">
        <v>575</v>
      </c>
      <c r="H309" s="67" t="s">
        <v>35</v>
      </c>
      <c r="I309" s="67" t="s">
        <v>180</v>
      </c>
      <c r="J309" s="67" t="s">
        <v>201</v>
      </c>
      <c r="K309" s="67">
        <v>13.2</v>
      </c>
      <c r="L309" s="299">
        <f t="shared" si="12"/>
        <v>0</v>
      </c>
      <c r="M309" s="221" t="s">
        <v>631</v>
      </c>
      <c r="N309" s="220">
        <f>IF(OR(M309="nio",M309="eigen dienst"),0,IF(M309&gt;0,M309*K309/O309,0))*VLOOKUP(B309,'2-Kosten per locatie'!$A$14:$C$33,3,FALSE)</f>
        <v>0</v>
      </c>
      <c r="O309" s="300">
        <f>IF(OR(M309="nio",M309="eigen dienst"),0,IF(M309&gt;0,VLOOKUP(H309,'3-Productie normen'!A:J,VLOOKUP(M309,'3-Productie normen'!$B$34:$C$35,2,FALSE),FALSE)))</f>
        <v>0</v>
      </c>
      <c r="P309" s="301" t="str">
        <f>VLOOKUP(H309,'3-Productie normen'!A:L,12,FALSE)</f>
        <v>B</v>
      </c>
      <c r="Q309" s="301"/>
      <c r="S309" s="302">
        <f t="shared" si="13"/>
        <v>0</v>
      </c>
    </row>
    <row r="310" spans="1:19" ht="14.15" customHeight="1">
      <c r="A310" s="71">
        <v>310</v>
      </c>
      <c r="B310" s="67" t="s">
        <v>212</v>
      </c>
      <c r="C310" s="467" t="s">
        <v>622</v>
      </c>
      <c r="D310" s="467" t="s">
        <v>720</v>
      </c>
      <c r="E310" s="67" t="s">
        <v>713</v>
      </c>
      <c r="F310" s="67" t="s">
        <v>247</v>
      </c>
      <c r="G310" s="67" t="s">
        <v>520</v>
      </c>
      <c r="H310" s="67" t="s">
        <v>520</v>
      </c>
      <c r="I310" s="67" t="s">
        <v>70</v>
      </c>
      <c r="J310" s="67" t="s">
        <v>70</v>
      </c>
      <c r="K310" s="67">
        <v>210.7</v>
      </c>
      <c r="L310" s="299">
        <f t="shared" si="12"/>
        <v>0</v>
      </c>
      <c r="M310" s="221" t="s">
        <v>631</v>
      </c>
      <c r="N310" s="220">
        <f>IF(OR(M310="nio",M310="eigen dienst"),0,IF(M310&gt;0,M310*K310/O310,0))*VLOOKUP(B310,'2-Kosten per locatie'!$A$14:$C$33,3,FALSE)</f>
        <v>0</v>
      </c>
      <c r="O310" s="300">
        <f>IF(OR(M310="nio",M310="eigen dienst"),0,IF(M310&gt;0,VLOOKUP(H310,'3-Productie normen'!A:J,VLOOKUP(M310,'3-Productie normen'!$B$34:$C$35,2,FALSE),FALSE)))</f>
        <v>0</v>
      </c>
      <c r="P310" s="301" t="str">
        <f>VLOOKUP(H310,'3-Productie normen'!A:L,12,FALSE)</f>
        <v>V</v>
      </c>
      <c r="Q310" s="301"/>
      <c r="S310" s="302">
        <f t="shared" si="13"/>
        <v>0</v>
      </c>
    </row>
    <row r="311" spans="1:19" ht="14.15" customHeight="1">
      <c r="A311" s="71">
        <v>311</v>
      </c>
      <c r="B311" s="67" t="s">
        <v>212</v>
      </c>
      <c r="C311" s="467" t="s">
        <v>622</v>
      </c>
      <c r="D311" s="467" t="s">
        <v>720</v>
      </c>
      <c r="E311" s="67" t="s">
        <v>713</v>
      </c>
      <c r="F311" s="67" t="s">
        <v>222</v>
      </c>
      <c r="G311" s="67" t="s">
        <v>514</v>
      </c>
      <c r="H311" s="67" t="s">
        <v>37</v>
      </c>
      <c r="I311" s="67" t="s">
        <v>601</v>
      </c>
      <c r="J311" s="67" t="s">
        <v>179</v>
      </c>
      <c r="K311" s="67">
        <v>4</v>
      </c>
      <c r="L311" s="299">
        <f t="shared" si="12"/>
        <v>0</v>
      </c>
      <c r="M311" s="221" t="s">
        <v>631</v>
      </c>
      <c r="N311" s="220">
        <f>IF(OR(M311="nio",M311="eigen dienst"),0,IF(M311&gt;0,M311*K311/O311,0))*VLOOKUP(B311,'2-Kosten per locatie'!$A$14:$C$33,3,FALSE)</f>
        <v>0</v>
      </c>
      <c r="O311" s="300">
        <f>IF(OR(M311="nio",M311="eigen dienst"),0,IF(M311&gt;0,VLOOKUP(H311,'3-Productie normen'!A:J,VLOOKUP(M311,'3-Productie normen'!$B$34:$C$35,2,FALSE),FALSE)))</f>
        <v>0</v>
      </c>
      <c r="P311" s="301" t="str">
        <f>VLOOKUP(H311,'3-Productie normen'!A:L,12,FALSE)</f>
        <v>S</v>
      </c>
      <c r="Q311" s="301"/>
      <c r="S311" s="302">
        <f t="shared" si="13"/>
        <v>0</v>
      </c>
    </row>
    <row r="312" spans="1:19" ht="14.15" customHeight="1">
      <c r="A312" s="71">
        <v>312</v>
      </c>
      <c r="B312" s="67" t="s">
        <v>212</v>
      </c>
      <c r="C312" s="467" t="s">
        <v>622</v>
      </c>
      <c r="D312" s="467" t="s">
        <v>720</v>
      </c>
      <c r="E312" s="67" t="s">
        <v>713</v>
      </c>
      <c r="F312" s="67" t="s">
        <v>248</v>
      </c>
      <c r="G312" s="67" t="s">
        <v>512</v>
      </c>
      <c r="H312" s="67" t="s">
        <v>39</v>
      </c>
      <c r="I312" s="67" t="s">
        <v>70</v>
      </c>
      <c r="J312" s="67" t="s">
        <v>70</v>
      </c>
      <c r="K312" s="67">
        <v>79.599999999999994</v>
      </c>
      <c r="L312" s="299">
        <f t="shared" si="12"/>
        <v>0</v>
      </c>
      <c r="M312" s="221" t="s">
        <v>631</v>
      </c>
      <c r="N312" s="220">
        <f>IF(OR(M312="nio",M312="eigen dienst"),0,IF(M312&gt;0,M312*K312/O312,0))*VLOOKUP(B312,'2-Kosten per locatie'!$A$14:$C$33,3,FALSE)</f>
        <v>0</v>
      </c>
      <c r="O312" s="300">
        <f>IF(OR(M312="nio",M312="eigen dienst"),0,IF(M312&gt;0,VLOOKUP(H312,'3-Productie normen'!A:J,VLOOKUP(M312,'3-Productie normen'!$B$34:$C$35,2,FALSE),FALSE)))</f>
        <v>0</v>
      </c>
      <c r="P312" s="301" t="str">
        <f>VLOOKUP(H312,'3-Productie normen'!A:L,12,FALSE)</f>
        <v>V</v>
      </c>
      <c r="Q312" s="301"/>
      <c r="S312" s="302">
        <f t="shared" si="13"/>
        <v>0</v>
      </c>
    </row>
    <row r="313" spans="1:19" ht="14.15" customHeight="1">
      <c r="A313" s="71">
        <v>313</v>
      </c>
      <c r="B313" s="67" t="s">
        <v>212</v>
      </c>
      <c r="C313" s="467" t="s">
        <v>622</v>
      </c>
      <c r="D313" s="467" t="s">
        <v>720</v>
      </c>
      <c r="E313" s="67" t="s">
        <v>713</v>
      </c>
      <c r="F313" s="67" t="s">
        <v>249</v>
      </c>
      <c r="G313" s="67" t="s">
        <v>519</v>
      </c>
      <c r="H313" s="67" t="s">
        <v>41</v>
      </c>
      <c r="I313" s="67" t="s">
        <v>598</v>
      </c>
      <c r="J313" s="67" t="s">
        <v>200</v>
      </c>
      <c r="K313" s="67">
        <v>4.8</v>
      </c>
      <c r="L313" s="299">
        <f t="shared" si="12"/>
        <v>0</v>
      </c>
      <c r="M313" s="221" t="s">
        <v>631</v>
      </c>
      <c r="N313" s="220">
        <f>IF(OR(M313="nio",M313="eigen dienst"),0,IF(M313&gt;0,M313*K313/O313,0))*VLOOKUP(B313,'2-Kosten per locatie'!$A$14:$C$33,3,FALSE)</f>
        <v>0</v>
      </c>
      <c r="O313" s="300">
        <f>IF(OR(M313="nio",M313="eigen dienst"),0,IF(M313&gt;0,VLOOKUP(H313,'3-Productie normen'!A:J,VLOOKUP(M313,'3-Productie normen'!$B$34:$C$35,2,FALSE),FALSE)))</f>
        <v>0</v>
      </c>
      <c r="P313" s="301" t="str">
        <f>VLOOKUP(H313,'3-Productie normen'!A:L,12,FALSE)</f>
        <v>V</v>
      </c>
      <c r="Q313" s="301"/>
      <c r="S313" s="302">
        <f t="shared" si="13"/>
        <v>0</v>
      </c>
    </row>
    <row r="314" spans="1:19" ht="14.15" customHeight="1">
      <c r="A314" s="71">
        <v>314</v>
      </c>
      <c r="B314" s="67" t="s">
        <v>212</v>
      </c>
      <c r="C314" s="467" t="s">
        <v>622</v>
      </c>
      <c r="D314" s="467" t="s">
        <v>720</v>
      </c>
      <c r="E314" s="67" t="s">
        <v>713</v>
      </c>
      <c r="F314" s="67" t="s">
        <v>250</v>
      </c>
      <c r="G314" s="67" t="s">
        <v>522</v>
      </c>
      <c r="H314" s="67" t="s">
        <v>44</v>
      </c>
      <c r="I314" s="67" t="s">
        <v>70</v>
      </c>
      <c r="J314" s="67" t="s">
        <v>70</v>
      </c>
      <c r="K314" s="67">
        <v>1.8</v>
      </c>
      <c r="L314" s="299">
        <f t="shared" si="12"/>
        <v>0</v>
      </c>
      <c r="M314" s="221" t="s">
        <v>631</v>
      </c>
      <c r="N314" s="220">
        <f>IF(OR(M314="nio",M314="eigen dienst"),0,IF(M314&gt;0,M314*K314/O314,0))*VLOOKUP(B314,'2-Kosten per locatie'!$A$14:$C$33,3,FALSE)</f>
        <v>0</v>
      </c>
      <c r="O314" s="300">
        <f>IF(OR(M314="nio",M314="eigen dienst"),0,IF(M314&gt;0,VLOOKUP(H314,'3-Productie normen'!A:J,VLOOKUP(M314,'3-Productie normen'!$B$34:$C$35,2,FALSE),FALSE)))</f>
        <v>0</v>
      </c>
      <c r="P314" s="301" t="str">
        <f>VLOOKUP(H314,'3-Productie normen'!A:L,12,FALSE)</f>
        <v>V</v>
      </c>
      <c r="Q314" s="301"/>
      <c r="S314" s="302">
        <f t="shared" si="13"/>
        <v>0</v>
      </c>
    </row>
    <row r="315" spans="1:19" ht="14.15" customHeight="1">
      <c r="A315" s="71">
        <v>315</v>
      </c>
      <c r="B315" s="67" t="s">
        <v>212</v>
      </c>
      <c r="C315" s="467" t="s">
        <v>622</v>
      </c>
      <c r="D315" s="467" t="s">
        <v>720</v>
      </c>
      <c r="E315" s="67" t="s">
        <v>713</v>
      </c>
      <c r="F315" s="67" t="s">
        <v>251</v>
      </c>
      <c r="G315" s="67" t="s">
        <v>523</v>
      </c>
      <c r="H315" s="67" t="s">
        <v>630</v>
      </c>
      <c r="I315" s="67" t="s">
        <v>70</v>
      </c>
      <c r="J315" s="67" t="s">
        <v>70</v>
      </c>
      <c r="K315" s="67">
        <v>11</v>
      </c>
      <c r="L315" s="299">
        <f t="shared" si="12"/>
        <v>0</v>
      </c>
      <c r="M315" s="221" t="s">
        <v>629</v>
      </c>
      <c r="N315" s="220">
        <f>IF(OR(M315="nio",M315="eigen dienst"),0,IF(M315&gt;0,M315*K315/O315,0))*VLOOKUP(B315,'2-Kosten per locatie'!$A$14:$C$33,3,FALSE)</f>
        <v>0</v>
      </c>
      <c r="O315" s="300">
        <f>IF(OR(M315="nio",M315="eigen dienst"),0,IF(M315&gt;0,VLOOKUP(H315,'3-Productie normen'!A:J,VLOOKUP(M315,'3-Productie normen'!$B$34:$C$35,2,FALSE),FALSE)))</f>
        <v>0</v>
      </c>
      <c r="P315" s="301">
        <f>VLOOKUP(H315,'3-Productie normen'!A:L,12,FALSE)</f>
        <v>0</v>
      </c>
      <c r="Q315" s="301"/>
      <c r="S315" s="302">
        <f t="shared" si="13"/>
        <v>0</v>
      </c>
    </row>
    <row r="316" spans="1:19" ht="14.15" customHeight="1">
      <c r="A316" s="71">
        <v>316</v>
      </c>
      <c r="B316" s="67" t="s">
        <v>212</v>
      </c>
      <c r="C316" s="467" t="s">
        <v>622</v>
      </c>
      <c r="D316" s="467" t="s">
        <v>720</v>
      </c>
      <c r="E316" s="67" t="s">
        <v>713</v>
      </c>
      <c r="F316" s="67" t="s">
        <v>252</v>
      </c>
      <c r="G316" s="67" t="s">
        <v>518</v>
      </c>
      <c r="H316" s="67" t="s">
        <v>44</v>
      </c>
      <c r="I316" s="67" t="s">
        <v>70</v>
      </c>
      <c r="J316" s="67" t="s">
        <v>70</v>
      </c>
      <c r="K316" s="67">
        <v>6.3</v>
      </c>
      <c r="L316" s="299">
        <f t="shared" si="12"/>
        <v>0</v>
      </c>
      <c r="M316" s="221" t="s">
        <v>631</v>
      </c>
      <c r="N316" s="220">
        <f>IF(OR(M316="nio",M316="eigen dienst"),0,IF(M316&gt;0,M316*K316/O316,0))*VLOOKUP(B316,'2-Kosten per locatie'!$A$14:$C$33,3,FALSE)</f>
        <v>0</v>
      </c>
      <c r="O316" s="300">
        <f>IF(OR(M316="nio",M316="eigen dienst"),0,IF(M316&gt;0,VLOOKUP(H316,'3-Productie normen'!A:J,VLOOKUP(M316,'3-Productie normen'!$B$34:$C$35,2,FALSE),FALSE)))</f>
        <v>0</v>
      </c>
      <c r="P316" s="301" t="str">
        <f>VLOOKUP(H316,'3-Productie normen'!A:L,12,FALSE)</f>
        <v>V</v>
      </c>
      <c r="Q316" s="301"/>
      <c r="S316" s="302">
        <f t="shared" si="13"/>
        <v>0</v>
      </c>
    </row>
    <row r="317" spans="1:19" ht="14.15" customHeight="1">
      <c r="A317" s="71">
        <v>317</v>
      </c>
      <c r="B317" s="67" t="s">
        <v>212</v>
      </c>
      <c r="C317" s="467" t="s">
        <v>622</v>
      </c>
      <c r="D317" s="467" t="s">
        <v>720</v>
      </c>
      <c r="E317" s="67" t="s">
        <v>713</v>
      </c>
      <c r="F317" s="67" t="s">
        <v>253</v>
      </c>
      <c r="G317" s="67" t="s">
        <v>514</v>
      </c>
      <c r="H317" s="67" t="s">
        <v>37</v>
      </c>
      <c r="I317" s="67" t="s">
        <v>601</v>
      </c>
      <c r="J317" s="67" t="s">
        <v>179</v>
      </c>
      <c r="K317" s="67">
        <v>4.9000000000000004</v>
      </c>
      <c r="L317" s="299">
        <f t="shared" si="12"/>
        <v>0</v>
      </c>
      <c r="M317" s="221" t="s">
        <v>631</v>
      </c>
      <c r="N317" s="220">
        <f>IF(OR(M317="nio",M317="eigen dienst"),0,IF(M317&gt;0,M317*K317/O317,0))*VLOOKUP(B317,'2-Kosten per locatie'!$A$14:$C$33,3,FALSE)</f>
        <v>0</v>
      </c>
      <c r="O317" s="300">
        <f>IF(OR(M317="nio",M317="eigen dienst"),0,IF(M317&gt;0,VLOOKUP(H317,'3-Productie normen'!A:J,VLOOKUP(M317,'3-Productie normen'!$B$34:$C$35,2,FALSE),FALSE)))</f>
        <v>0</v>
      </c>
      <c r="P317" s="301" t="str">
        <f>VLOOKUP(H317,'3-Productie normen'!A:L,12,FALSE)</f>
        <v>S</v>
      </c>
      <c r="Q317" s="301"/>
      <c r="S317" s="302">
        <f t="shared" si="13"/>
        <v>0</v>
      </c>
    </row>
    <row r="318" spans="1:19" ht="14.15" customHeight="1">
      <c r="A318" s="71">
        <v>318</v>
      </c>
      <c r="B318" s="67" t="s">
        <v>212</v>
      </c>
      <c r="C318" s="467" t="s">
        <v>622</v>
      </c>
      <c r="D318" s="467" t="s">
        <v>720</v>
      </c>
      <c r="E318" s="67" t="s">
        <v>713</v>
      </c>
      <c r="F318" s="67" t="s">
        <v>254</v>
      </c>
      <c r="G318" s="67" t="s">
        <v>514</v>
      </c>
      <c r="H318" s="67" t="s">
        <v>37</v>
      </c>
      <c r="I318" s="67" t="s">
        <v>601</v>
      </c>
      <c r="J318" s="67" t="s">
        <v>179</v>
      </c>
      <c r="K318" s="67">
        <v>4.9000000000000004</v>
      </c>
      <c r="L318" s="299">
        <f t="shared" si="12"/>
        <v>0</v>
      </c>
      <c r="M318" s="221" t="s">
        <v>631</v>
      </c>
      <c r="N318" s="220">
        <f>IF(OR(M318="nio",M318="eigen dienst"),0,IF(M318&gt;0,M318*K318/O318,0))*VLOOKUP(B318,'2-Kosten per locatie'!$A$14:$C$33,3,FALSE)</f>
        <v>0</v>
      </c>
      <c r="O318" s="300">
        <f>IF(OR(M318="nio",M318="eigen dienst"),0,IF(M318&gt;0,VLOOKUP(H318,'3-Productie normen'!A:J,VLOOKUP(M318,'3-Productie normen'!$B$34:$C$35,2,FALSE),FALSE)))</f>
        <v>0</v>
      </c>
      <c r="P318" s="301" t="str">
        <f>VLOOKUP(H318,'3-Productie normen'!A:L,12,FALSE)</f>
        <v>S</v>
      </c>
      <c r="Q318" s="301"/>
      <c r="S318" s="302">
        <f t="shared" si="13"/>
        <v>0</v>
      </c>
    </row>
    <row r="319" spans="1:19" ht="14.15" customHeight="1">
      <c r="A319" s="71">
        <v>319</v>
      </c>
      <c r="B319" s="67" t="s">
        <v>212</v>
      </c>
      <c r="C319" s="467" t="s">
        <v>622</v>
      </c>
      <c r="D319" s="467" t="s">
        <v>720</v>
      </c>
      <c r="E319" s="67" t="s">
        <v>713</v>
      </c>
      <c r="F319" s="67" t="s">
        <v>223</v>
      </c>
      <c r="G319" s="67" t="s">
        <v>522</v>
      </c>
      <c r="H319" s="67" t="s">
        <v>44</v>
      </c>
      <c r="I319" s="67" t="s">
        <v>70</v>
      </c>
      <c r="J319" s="67" t="s">
        <v>70</v>
      </c>
      <c r="K319" s="67">
        <v>1.5</v>
      </c>
      <c r="L319" s="299">
        <f t="shared" si="12"/>
        <v>0</v>
      </c>
      <c r="M319" s="221" t="s">
        <v>631</v>
      </c>
      <c r="N319" s="220">
        <f>IF(OR(M319="nio",M319="eigen dienst"),0,IF(M319&gt;0,M319*K319/O319,0))*VLOOKUP(B319,'2-Kosten per locatie'!$A$14:$C$33,3,FALSE)</f>
        <v>0</v>
      </c>
      <c r="O319" s="300">
        <f>IF(OR(M319="nio",M319="eigen dienst"),0,IF(M319&gt;0,VLOOKUP(H319,'3-Productie normen'!A:J,VLOOKUP(M319,'3-Productie normen'!$B$34:$C$35,2,FALSE),FALSE)))</f>
        <v>0</v>
      </c>
      <c r="P319" s="301" t="str">
        <f>VLOOKUP(H319,'3-Productie normen'!A:L,12,FALSE)</f>
        <v>V</v>
      </c>
      <c r="Q319" s="301"/>
      <c r="S319" s="302">
        <f t="shared" si="13"/>
        <v>0</v>
      </c>
    </row>
    <row r="320" spans="1:19" ht="14.15" customHeight="1">
      <c r="A320" s="71">
        <v>320</v>
      </c>
      <c r="B320" s="67" t="s">
        <v>212</v>
      </c>
      <c r="C320" s="467" t="s">
        <v>622</v>
      </c>
      <c r="D320" s="467" t="s">
        <v>720</v>
      </c>
      <c r="E320" s="67" t="s">
        <v>713</v>
      </c>
      <c r="F320" s="67" t="s">
        <v>265</v>
      </c>
      <c r="G320" s="67" t="s">
        <v>518</v>
      </c>
      <c r="H320" s="67" t="s">
        <v>44</v>
      </c>
      <c r="I320" s="67" t="s">
        <v>70</v>
      </c>
      <c r="J320" s="67" t="s">
        <v>70</v>
      </c>
      <c r="K320" s="67">
        <v>3.3</v>
      </c>
      <c r="L320" s="299">
        <f t="shared" si="12"/>
        <v>0</v>
      </c>
      <c r="M320" s="221" t="s">
        <v>631</v>
      </c>
      <c r="N320" s="220">
        <f>IF(OR(M320="nio",M320="eigen dienst"),0,IF(M320&gt;0,M320*K320/O320,0))*VLOOKUP(B320,'2-Kosten per locatie'!$A$14:$C$33,3,FALSE)</f>
        <v>0</v>
      </c>
      <c r="O320" s="300">
        <f>IF(OR(M320="nio",M320="eigen dienst"),0,IF(M320&gt;0,VLOOKUP(H320,'3-Productie normen'!A:J,VLOOKUP(M320,'3-Productie normen'!$B$34:$C$35,2,FALSE),FALSE)))</f>
        <v>0</v>
      </c>
      <c r="P320" s="301" t="str">
        <f>VLOOKUP(H320,'3-Productie normen'!A:L,12,FALSE)</f>
        <v>V</v>
      </c>
      <c r="Q320" s="301"/>
      <c r="S320" s="302">
        <f t="shared" si="13"/>
        <v>0</v>
      </c>
    </row>
    <row r="321" spans="1:19" ht="14.15" customHeight="1">
      <c r="A321" s="71">
        <v>321</v>
      </c>
      <c r="B321" s="67" t="s">
        <v>212</v>
      </c>
      <c r="C321" s="467" t="s">
        <v>622</v>
      </c>
      <c r="D321" s="467" t="s">
        <v>720</v>
      </c>
      <c r="E321" s="67" t="s">
        <v>713</v>
      </c>
      <c r="F321" s="67" t="s">
        <v>224</v>
      </c>
      <c r="G321" s="67" t="s">
        <v>518</v>
      </c>
      <c r="H321" s="67" t="s">
        <v>44</v>
      </c>
      <c r="I321" s="67" t="s">
        <v>70</v>
      </c>
      <c r="J321" s="67" t="s">
        <v>70</v>
      </c>
      <c r="K321" s="67">
        <v>3.3</v>
      </c>
      <c r="L321" s="299">
        <f t="shared" si="12"/>
        <v>0</v>
      </c>
      <c r="M321" s="221" t="s">
        <v>631</v>
      </c>
      <c r="N321" s="220">
        <f>IF(OR(M321="nio",M321="eigen dienst"),0,IF(M321&gt;0,M321*K321/O321,0))*VLOOKUP(B321,'2-Kosten per locatie'!$A$14:$C$33,3,FALSE)</f>
        <v>0</v>
      </c>
      <c r="O321" s="300">
        <f>IF(OR(M321="nio",M321="eigen dienst"),0,IF(M321&gt;0,VLOOKUP(H321,'3-Productie normen'!A:J,VLOOKUP(M321,'3-Productie normen'!$B$34:$C$35,2,FALSE),FALSE)))</f>
        <v>0</v>
      </c>
      <c r="P321" s="301" t="str">
        <f>VLOOKUP(H321,'3-Productie normen'!A:L,12,FALSE)</f>
        <v>V</v>
      </c>
      <c r="Q321" s="301"/>
      <c r="S321" s="302">
        <f t="shared" si="13"/>
        <v>0</v>
      </c>
    </row>
    <row r="322" spans="1:19" ht="14.15" customHeight="1">
      <c r="A322" s="71">
        <v>322</v>
      </c>
      <c r="B322" s="67" t="s">
        <v>212</v>
      </c>
      <c r="C322" s="467" t="s">
        <v>622</v>
      </c>
      <c r="D322" s="467" t="s">
        <v>720</v>
      </c>
      <c r="E322" s="67" t="s">
        <v>713</v>
      </c>
      <c r="F322" s="67" t="s">
        <v>225</v>
      </c>
      <c r="G322" s="67" t="s">
        <v>513</v>
      </c>
      <c r="H322" s="67" t="s">
        <v>45</v>
      </c>
      <c r="I322" s="67" t="s">
        <v>599</v>
      </c>
      <c r="J322" s="67" t="s">
        <v>200</v>
      </c>
      <c r="K322" s="67">
        <v>90</v>
      </c>
      <c r="L322" s="299">
        <f t="shared" si="12"/>
        <v>0</v>
      </c>
      <c r="M322" s="221" t="s">
        <v>631</v>
      </c>
      <c r="N322" s="220">
        <f>IF(OR(M322="nio",M322="eigen dienst"),0,IF(M322&gt;0,M322*K322/O322,0))*VLOOKUP(B322,'2-Kosten per locatie'!$A$14:$C$33,3,FALSE)</f>
        <v>0</v>
      </c>
      <c r="O322" s="300">
        <f>IF(OR(M322="nio",M322="eigen dienst"),0,IF(M322&gt;0,VLOOKUP(H322,'3-Productie normen'!A:J,VLOOKUP(M322,'3-Productie normen'!$B$34:$C$35,2,FALSE),FALSE)))</f>
        <v>0</v>
      </c>
      <c r="P322" s="301" t="str">
        <f>VLOOKUP(H322,'3-Productie normen'!A:L,12,FALSE)</f>
        <v>L</v>
      </c>
      <c r="Q322" s="301"/>
      <c r="S322" s="302">
        <f t="shared" si="13"/>
        <v>0</v>
      </c>
    </row>
    <row r="323" spans="1:19" ht="14.15" customHeight="1">
      <c r="A323" s="71">
        <v>323</v>
      </c>
      <c r="B323" s="67" t="s">
        <v>212</v>
      </c>
      <c r="C323" s="467" t="s">
        <v>622</v>
      </c>
      <c r="D323" s="467" t="s">
        <v>720</v>
      </c>
      <c r="E323" s="67" t="s">
        <v>713</v>
      </c>
      <c r="F323" s="67" t="s">
        <v>226</v>
      </c>
      <c r="G323" s="67" t="s">
        <v>512</v>
      </c>
      <c r="H323" s="67" t="s">
        <v>39</v>
      </c>
      <c r="I323" s="67" t="s">
        <v>70</v>
      </c>
      <c r="J323" s="67" t="s">
        <v>70</v>
      </c>
      <c r="K323" s="67">
        <v>57.5</v>
      </c>
      <c r="L323" s="299">
        <f t="shared" si="12"/>
        <v>0</v>
      </c>
      <c r="M323" s="221" t="s">
        <v>631</v>
      </c>
      <c r="N323" s="220">
        <f>IF(OR(M323="nio",M323="eigen dienst"),0,IF(M323&gt;0,M323*K323/O323,0))*VLOOKUP(B323,'2-Kosten per locatie'!$A$14:$C$33,3,FALSE)</f>
        <v>0</v>
      </c>
      <c r="O323" s="300">
        <f>IF(OR(M323="nio",M323="eigen dienst"),0,IF(M323&gt;0,VLOOKUP(H323,'3-Productie normen'!A:J,VLOOKUP(M323,'3-Productie normen'!$B$34:$C$35,2,FALSE),FALSE)))</f>
        <v>0</v>
      </c>
      <c r="P323" s="301" t="str">
        <f>VLOOKUP(H323,'3-Productie normen'!A:L,12,FALSE)</f>
        <v>V</v>
      </c>
      <c r="Q323" s="301"/>
      <c r="S323" s="302">
        <f t="shared" si="13"/>
        <v>0</v>
      </c>
    </row>
    <row r="324" spans="1:19" ht="14.15" customHeight="1">
      <c r="A324" s="71">
        <v>324</v>
      </c>
      <c r="B324" s="67" t="s">
        <v>212</v>
      </c>
      <c r="C324" s="467" t="s">
        <v>622</v>
      </c>
      <c r="D324" s="467" t="s">
        <v>720</v>
      </c>
      <c r="E324" s="67" t="s">
        <v>713</v>
      </c>
      <c r="F324" s="67" t="s">
        <v>227</v>
      </c>
      <c r="G324" s="67" t="s">
        <v>515</v>
      </c>
      <c r="H324" s="67" t="s">
        <v>609</v>
      </c>
      <c r="I324" s="67" t="s">
        <v>70</v>
      </c>
      <c r="J324" s="67" t="s">
        <v>70</v>
      </c>
      <c r="K324" s="67">
        <v>67</v>
      </c>
      <c r="L324" s="299">
        <f t="shared" si="12"/>
        <v>0</v>
      </c>
      <c r="M324" s="221" t="s">
        <v>631</v>
      </c>
      <c r="N324" s="220">
        <f>IF(OR(M324="nio",M324="eigen dienst"),0,IF(M324&gt;0,M324*K324/O324,0))*VLOOKUP(B324,'2-Kosten per locatie'!$A$14:$C$33,3,FALSE)</f>
        <v>0</v>
      </c>
      <c r="O324" s="300">
        <f>IF(OR(M324="nio",M324="eigen dienst"),0,IF(M324&gt;0,VLOOKUP(H324,'3-Productie normen'!A:J,VLOOKUP(M324,'3-Productie normen'!$B$34:$C$35,2,FALSE),FALSE)))</f>
        <v>0</v>
      </c>
      <c r="P324" s="301" t="str">
        <f>VLOOKUP(H324,'3-Productie normen'!A:L,12,FALSE)</f>
        <v>L</v>
      </c>
      <c r="Q324" s="301"/>
      <c r="S324" s="302">
        <f t="shared" si="13"/>
        <v>0</v>
      </c>
    </row>
    <row r="325" spans="1:19" ht="14.15" customHeight="1">
      <c r="A325" s="71">
        <v>325</v>
      </c>
      <c r="B325" s="67" t="s">
        <v>213</v>
      </c>
      <c r="C325" s="467" t="s">
        <v>623</v>
      </c>
      <c r="D325" s="467" t="s">
        <v>720</v>
      </c>
      <c r="E325" s="67" t="s">
        <v>713</v>
      </c>
      <c r="F325" s="67" t="s">
        <v>220</v>
      </c>
      <c r="G325" s="67" t="s">
        <v>515</v>
      </c>
      <c r="H325" s="67" t="s">
        <v>609</v>
      </c>
      <c r="I325" s="67" t="s">
        <v>70</v>
      </c>
      <c r="J325" s="67" t="s">
        <v>70</v>
      </c>
      <c r="K325" s="67">
        <v>49.4</v>
      </c>
      <c r="L325" s="299">
        <f t="shared" si="12"/>
        <v>200</v>
      </c>
      <c r="M325" s="221">
        <v>200</v>
      </c>
      <c r="N325" s="220" t="e">
        <f>IF(OR(M325="nio",M325="eigen dienst"),0,IF(M325&gt;0,M325*K325/O325,0))*VLOOKUP(B325,'2-Kosten per locatie'!$A$14:$C$33,3,FALSE)</f>
        <v>#DIV/0!</v>
      </c>
      <c r="O325" s="300">
        <f>IF(OR(M325="nio",M325="eigen dienst"),0,IF(M325&gt;0,VLOOKUP(H325,'3-Productie normen'!A:J,VLOOKUP(M325,'3-Productie normen'!$B$34:$C$35,2,FALSE),FALSE)))</f>
        <v>0</v>
      </c>
      <c r="P325" s="301" t="str">
        <f>VLOOKUP(H325,'3-Productie normen'!A:L,12,FALSE)</f>
        <v>L</v>
      </c>
      <c r="Q325" s="301"/>
      <c r="S325" s="302">
        <f t="shared" si="13"/>
        <v>9880</v>
      </c>
    </row>
    <row r="326" spans="1:19" ht="14.15" customHeight="1">
      <c r="A326" s="71">
        <v>326</v>
      </c>
      <c r="B326" s="67" t="s">
        <v>213</v>
      </c>
      <c r="C326" s="467" t="s">
        <v>623</v>
      </c>
      <c r="D326" s="467" t="s">
        <v>720</v>
      </c>
      <c r="E326" s="67" t="s">
        <v>713</v>
      </c>
      <c r="F326" s="67" t="s">
        <v>228</v>
      </c>
      <c r="G326" s="67" t="s">
        <v>515</v>
      </c>
      <c r="H326" s="67" t="s">
        <v>609</v>
      </c>
      <c r="I326" s="67" t="s">
        <v>70</v>
      </c>
      <c r="J326" s="67" t="s">
        <v>70</v>
      </c>
      <c r="K326" s="67">
        <v>49.4</v>
      </c>
      <c r="L326" s="299">
        <f t="shared" si="12"/>
        <v>200</v>
      </c>
      <c r="M326" s="221">
        <v>200</v>
      </c>
      <c r="N326" s="220" t="e">
        <f>IF(OR(M326="nio",M326="eigen dienst"),0,IF(M326&gt;0,M326*K326/O326,0))*VLOOKUP(B326,'2-Kosten per locatie'!$A$14:$C$33,3,FALSE)</f>
        <v>#DIV/0!</v>
      </c>
      <c r="O326" s="300">
        <f>IF(OR(M326="nio",M326="eigen dienst"),0,IF(M326&gt;0,VLOOKUP(H326,'3-Productie normen'!A:J,VLOOKUP(M326,'3-Productie normen'!$B$34:$C$35,2,FALSE),FALSE)))</f>
        <v>0</v>
      </c>
      <c r="P326" s="301" t="str">
        <f>VLOOKUP(H326,'3-Productie normen'!A:L,12,FALSE)</f>
        <v>L</v>
      </c>
      <c r="Q326" s="301"/>
      <c r="S326" s="302">
        <f t="shared" si="13"/>
        <v>9880</v>
      </c>
    </row>
    <row r="327" spans="1:19" ht="14.15" customHeight="1">
      <c r="A327" s="71">
        <v>327</v>
      </c>
      <c r="B327" s="67" t="s">
        <v>213</v>
      </c>
      <c r="C327" s="467" t="s">
        <v>623</v>
      </c>
      <c r="D327" s="467" t="s">
        <v>720</v>
      </c>
      <c r="E327" s="67" t="s">
        <v>713</v>
      </c>
      <c r="F327" s="67" t="s">
        <v>229</v>
      </c>
      <c r="G327" s="67" t="s">
        <v>515</v>
      </c>
      <c r="H327" s="67" t="s">
        <v>609</v>
      </c>
      <c r="I327" s="67" t="s">
        <v>70</v>
      </c>
      <c r="J327" s="67" t="s">
        <v>70</v>
      </c>
      <c r="K327" s="67">
        <v>49.4</v>
      </c>
      <c r="L327" s="299">
        <f t="shared" si="12"/>
        <v>200</v>
      </c>
      <c r="M327" s="221">
        <v>200</v>
      </c>
      <c r="N327" s="220" t="e">
        <f>IF(OR(M327="nio",M327="eigen dienst"),0,IF(M327&gt;0,M327*K327/O327,0))*VLOOKUP(B327,'2-Kosten per locatie'!$A$14:$C$33,3,FALSE)</f>
        <v>#DIV/0!</v>
      </c>
      <c r="O327" s="300">
        <f>IF(OR(M327="nio",M327="eigen dienst"),0,IF(M327&gt;0,VLOOKUP(H327,'3-Productie normen'!A:J,VLOOKUP(M327,'3-Productie normen'!$B$34:$C$35,2,FALSE),FALSE)))</f>
        <v>0</v>
      </c>
      <c r="P327" s="301" t="str">
        <f>VLOOKUP(H327,'3-Productie normen'!A:L,12,FALSE)</f>
        <v>L</v>
      </c>
      <c r="Q327" s="301"/>
      <c r="S327" s="302">
        <f t="shared" si="13"/>
        <v>9880</v>
      </c>
    </row>
    <row r="328" spans="1:19" ht="14.15" customHeight="1">
      <c r="A328" s="71">
        <v>328</v>
      </c>
      <c r="B328" s="67" t="s">
        <v>213</v>
      </c>
      <c r="C328" s="467" t="s">
        <v>623</v>
      </c>
      <c r="D328" s="467" t="s">
        <v>720</v>
      </c>
      <c r="E328" s="67" t="s">
        <v>713</v>
      </c>
      <c r="F328" s="67" t="s">
        <v>230</v>
      </c>
      <c r="G328" s="67" t="s">
        <v>515</v>
      </c>
      <c r="H328" s="67" t="s">
        <v>609</v>
      </c>
      <c r="I328" s="67" t="s">
        <v>70</v>
      </c>
      <c r="J328" s="67" t="s">
        <v>70</v>
      </c>
      <c r="K328" s="67">
        <v>49.4</v>
      </c>
      <c r="L328" s="299">
        <f t="shared" si="12"/>
        <v>200</v>
      </c>
      <c r="M328" s="221">
        <v>200</v>
      </c>
      <c r="N328" s="220" t="e">
        <f>IF(OR(M328="nio",M328="eigen dienst"),0,IF(M328&gt;0,M328*K328/O328,0))*VLOOKUP(B328,'2-Kosten per locatie'!$A$14:$C$33,3,FALSE)</f>
        <v>#DIV/0!</v>
      </c>
      <c r="O328" s="300">
        <f>IF(OR(M328="nio",M328="eigen dienst"),0,IF(M328&gt;0,VLOOKUP(H328,'3-Productie normen'!A:J,VLOOKUP(M328,'3-Productie normen'!$B$34:$C$35,2,FALSE),FALSE)))</f>
        <v>0</v>
      </c>
      <c r="P328" s="301" t="str">
        <f>VLOOKUP(H328,'3-Productie normen'!A:L,12,FALSE)</f>
        <v>L</v>
      </c>
      <c r="Q328" s="301"/>
      <c r="S328" s="302">
        <f t="shared" si="13"/>
        <v>9880</v>
      </c>
    </row>
    <row r="329" spans="1:19" ht="14.15" customHeight="1">
      <c r="A329" s="71">
        <v>329</v>
      </c>
      <c r="B329" s="67" t="s">
        <v>213</v>
      </c>
      <c r="C329" s="467" t="s">
        <v>623</v>
      </c>
      <c r="D329" s="467" t="s">
        <v>720</v>
      </c>
      <c r="E329" s="67" t="s">
        <v>713</v>
      </c>
      <c r="F329" s="67" t="s">
        <v>231</v>
      </c>
      <c r="G329" s="67" t="s">
        <v>515</v>
      </c>
      <c r="H329" s="67" t="s">
        <v>609</v>
      </c>
      <c r="I329" s="67" t="s">
        <v>70</v>
      </c>
      <c r="J329" s="67" t="s">
        <v>70</v>
      </c>
      <c r="K329" s="67">
        <v>49.4</v>
      </c>
      <c r="L329" s="299">
        <f t="shared" si="12"/>
        <v>200</v>
      </c>
      <c r="M329" s="221">
        <v>200</v>
      </c>
      <c r="N329" s="220" t="e">
        <f>IF(OR(M329="nio",M329="eigen dienst"),0,IF(M329&gt;0,M329*K329/O329,0))*VLOOKUP(B329,'2-Kosten per locatie'!$A$14:$C$33,3,FALSE)</f>
        <v>#DIV/0!</v>
      </c>
      <c r="O329" s="300">
        <f>IF(OR(M329="nio",M329="eigen dienst"),0,IF(M329&gt;0,VLOOKUP(H329,'3-Productie normen'!A:J,VLOOKUP(M329,'3-Productie normen'!$B$34:$C$35,2,FALSE),FALSE)))</f>
        <v>0</v>
      </c>
      <c r="P329" s="301" t="str">
        <f>VLOOKUP(H329,'3-Productie normen'!A:L,12,FALSE)</f>
        <v>L</v>
      </c>
      <c r="Q329" s="301"/>
      <c r="S329" s="302">
        <f t="shared" si="13"/>
        <v>9880</v>
      </c>
    </row>
    <row r="330" spans="1:19" ht="14.15" customHeight="1">
      <c r="A330" s="71">
        <v>330</v>
      </c>
      <c r="B330" s="67" t="s">
        <v>213</v>
      </c>
      <c r="C330" s="467" t="s">
        <v>623</v>
      </c>
      <c r="D330" s="467" t="s">
        <v>720</v>
      </c>
      <c r="E330" s="67" t="s">
        <v>713</v>
      </c>
      <c r="F330" s="67" t="s">
        <v>232</v>
      </c>
      <c r="G330" s="67" t="s">
        <v>512</v>
      </c>
      <c r="H330" s="67" t="s">
        <v>39</v>
      </c>
      <c r="I330" s="67" t="s">
        <v>70</v>
      </c>
      <c r="J330" s="67" t="s">
        <v>70</v>
      </c>
      <c r="K330" s="67">
        <v>45.4</v>
      </c>
      <c r="L330" s="299">
        <f t="shared" si="12"/>
        <v>200</v>
      </c>
      <c r="M330" s="221">
        <v>200</v>
      </c>
      <c r="N330" s="220" t="e">
        <f>IF(OR(M330="nio",M330="eigen dienst"),0,IF(M330&gt;0,M330*K330/O330,0))*VLOOKUP(B330,'2-Kosten per locatie'!$A$14:$C$33,3,FALSE)</f>
        <v>#DIV/0!</v>
      </c>
      <c r="O330" s="300">
        <f>IF(OR(M330="nio",M330="eigen dienst"),0,IF(M330&gt;0,VLOOKUP(H330,'3-Productie normen'!A:J,VLOOKUP(M330,'3-Productie normen'!$B$34:$C$35,2,FALSE),FALSE)))</f>
        <v>0</v>
      </c>
      <c r="P330" s="301" t="str">
        <f>VLOOKUP(H330,'3-Productie normen'!A:L,12,FALSE)</f>
        <v>V</v>
      </c>
      <c r="Q330" s="301"/>
      <c r="S330" s="302">
        <f t="shared" si="13"/>
        <v>9080</v>
      </c>
    </row>
    <row r="331" spans="1:19" ht="14.15" customHeight="1">
      <c r="A331" s="71">
        <v>331</v>
      </c>
      <c r="B331" s="67" t="s">
        <v>213</v>
      </c>
      <c r="C331" s="467" t="s">
        <v>623</v>
      </c>
      <c r="D331" s="467" t="s">
        <v>720</v>
      </c>
      <c r="E331" s="67" t="s">
        <v>713</v>
      </c>
      <c r="F331" s="67" t="s">
        <v>233</v>
      </c>
      <c r="G331" s="67" t="s">
        <v>514</v>
      </c>
      <c r="H331" s="67" t="s">
        <v>37</v>
      </c>
      <c r="I331" s="67" t="s">
        <v>202</v>
      </c>
      <c r="J331" s="67" t="s">
        <v>179</v>
      </c>
      <c r="K331" s="67">
        <v>15.7</v>
      </c>
      <c r="L331" s="299">
        <f t="shared" si="12"/>
        <v>200</v>
      </c>
      <c r="M331" s="221">
        <v>200</v>
      </c>
      <c r="N331" s="220" t="e">
        <f>IF(OR(M331="nio",M331="eigen dienst"),0,IF(M331&gt;0,M331*K331/O331,0))*VLOOKUP(B331,'2-Kosten per locatie'!$A$14:$C$33,3,FALSE)</f>
        <v>#DIV/0!</v>
      </c>
      <c r="O331" s="300">
        <f>IF(OR(M331="nio",M331="eigen dienst"),0,IF(M331&gt;0,VLOOKUP(H331,'3-Productie normen'!A:J,VLOOKUP(M331,'3-Productie normen'!$B$34:$C$35,2,FALSE),FALSE)))</f>
        <v>0</v>
      </c>
      <c r="P331" s="301" t="str">
        <f>VLOOKUP(H331,'3-Productie normen'!A:L,12,FALSE)</f>
        <v>S</v>
      </c>
      <c r="Q331" s="301"/>
      <c r="S331" s="302">
        <f t="shared" si="13"/>
        <v>3140</v>
      </c>
    </row>
    <row r="332" spans="1:19" ht="14.15" customHeight="1">
      <c r="A332" s="71">
        <v>332</v>
      </c>
      <c r="B332" s="67" t="s">
        <v>213</v>
      </c>
      <c r="C332" s="467" t="s">
        <v>623</v>
      </c>
      <c r="D332" s="467" t="s">
        <v>720</v>
      </c>
      <c r="E332" s="67" t="s">
        <v>713</v>
      </c>
      <c r="F332" s="67" t="s">
        <v>234</v>
      </c>
      <c r="G332" s="67" t="s">
        <v>518</v>
      </c>
      <c r="H332" s="67" t="s">
        <v>630</v>
      </c>
      <c r="I332" s="67" t="s">
        <v>70</v>
      </c>
      <c r="J332" s="67" t="s">
        <v>70</v>
      </c>
      <c r="K332" s="67">
        <v>8</v>
      </c>
      <c r="L332" s="299">
        <f t="shared" si="12"/>
        <v>0</v>
      </c>
      <c r="M332" s="221" t="s">
        <v>629</v>
      </c>
      <c r="N332" s="220">
        <f>IF(OR(M332="nio",M332="eigen dienst"),0,IF(M332&gt;0,M332*K332/O332,0))*VLOOKUP(B332,'2-Kosten per locatie'!$A$14:$C$33,3,FALSE)</f>
        <v>0</v>
      </c>
      <c r="O332" s="300">
        <f>IF(OR(M332="nio",M332="eigen dienst"),0,IF(M332&gt;0,VLOOKUP(H332,'3-Productie normen'!A:J,VLOOKUP(M332,'3-Productie normen'!$B$34:$C$35,2,FALSE),FALSE)))</f>
        <v>0</v>
      </c>
      <c r="P332" s="301">
        <f>VLOOKUP(H332,'3-Productie normen'!A:L,12,FALSE)</f>
        <v>0</v>
      </c>
      <c r="Q332" s="301"/>
      <c r="S332" s="302">
        <f t="shared" si="13"/>
        <v>0</v>
      </c>
    </row>
    <row r="333" spans="1:19" ht="14.15" customHeight="1">
      <c r="A333" s="71">
        <v>333</v>
      </c>
      <c r="B333" s="67" t="s">
        <v>213</v>
      </c>
      <c r="C333" s="467" t="s">
        <v>623</v>
      </c>
      <c r="D333" s="467" t="s">
        <v>720</v>
      </c>
      <c r="E333" s="67" t="s">
        <v>713</v>
      </c>
      <c r="F333" s="67" t="s">
        <v>235</v>
      </c>
      <c r="G333" s="67" t="s">
        <v>585</v>
      </c>
      <c r="H333" s="67" t="s">
        <v>44</v>
      </c>
      <c r="I333" s="67" t="s">
        <v>70</v>
      </c>
      <c r="J333" s="67" t="s">
        <v>70</v>
      </c>
      <c r="K333" s="67">
        <v>7.9</v>
      </c>
      <c r="L333" s="299">
        <f t="shared" si="12"/>
        <v>0</v>
      </c>
      <c r="M333" s="221" t="s">
        <v>629</v>
      </c>
      <c r="N333" s="220">
        <f>IF(OR(M333="nio",M333="eigen dienst"),0,IF(M333&gt;0,M333*K333/O333,0))*VLOOKUP(B333,'2-Kosten per locatie'!$A$14:$C$33,3,FALSE)</f>
        <v>0</v>
      </c>
      <c r="O333" s="300">
        <f>IF(OR(M333="nio",M333="eigen dienst"),0,IF(M333&gt;0,VLOOKUP(H333,'3-Productie normen'!A:J,VLOOKUP(M333,'3-Productie normen'!$B$34:$C$35,2,FALSE),FALSE)))</f>
        <v>0</v>
      </c>
      <c r="P333" s="301" t="str">
        <f>VLOOKUP(H333,'3-Productie normen'!A:L,12,FALSE)</f>
        <v>V</v>
      </c>
      <c r="Q333" s="301"/>
      <c r="S333" s="302">
        <f t="shared" si="13"/>
        <v>0</v>
      </c>
    </row>
    <row r="334" spans="1:19" ht="14.15" customHeight="1">
      <c r="A334" s="71">
        <v>334</v>
      </c>
      <c r="B334" s="67" t="s">
        <v>213</v>
      </c>
      <c r="C334" s="467" t="s">
        <v>623</v>
      </c>
      <c r="D334" s="467" t="s">
        <v>720</v>
      </c>
      <c r="E334" s="67" t="s">
        <v>713</v>
      </c>
      <c r="F334" s="67" t="s">
        <v>236</v>
      </c>
      <c r="G334" s="67" t="s">
        <v>518</v>
      </c>
      <c r="H334" s="67" t="s">
        <v>44</v>
      </c>
      <c r="I334" s="67" t="s">
        <v>70</v>
      </c>
      <c r="J334" s="67" t="s">
        <v>70</v>
      </c>
      <c r="K334" s="67">
        <v>5.6</v>
      </c>
      <c r="L334" s="299">
        <f t="shared" si="12"/>
        <v>0</v>
      </c>
      <c r="M334" s="221" t="s">
        <v>629</v>
      </c>
      <c r="N334" s="220">
        <f>IF(OR(M334="nio",M334="eigen dienst"),0,IF(M334&gt;0,M334*K334/O334,0))*VLOOKUP(B334,'2-Kosten per locatie'!$A$14:$C$33,3,FALSE)</f>
        <v>0</v>
      </c>
      <c r="O334" s="300">
        <f>IF(OR(M334="nio",M334="eigen dienst"),0,IF(M334&gt;0,VLOOKUP(H334,'3-Productie normen'!A:J,VLOOKUP(M334,'3-Productie normen'!$B$34:$C$35,2,FALSE),FALSE)))</f>
        <v>0</v>
      </c>
      <c r="P334" s="301" t="str">
        <f>VLOOKUP(H334,'3-Productie normen'!A:L,12,FALSE)</f>
        <v>V</v>
      </c>
      <c r="Q334" s="301"/>
      <c r="S334" s="302">
        <f t="shared" si="13"/>
        <v>0</v>
      </c>
    </row>
    <row r="335" spans="1:19" ht="14.15" customHeight="1">
      <c r="A335" s="71">
        <v>335</v>
      </c>
      <c r="B335" s="67" t="s">
        <v>213</v>
      </c>
      <c r="C335" s="467" t="s">
        <v>623</v>
      </c>
      <c r="D335" s="467" t="s">
        <v>720</v>
      </c>
      <c r="E335" s="67" t="s">
        <v>713</v>
      </c>
      <c r="F335" s="67" t="s">
        <v>237</v>
      </c>
      <c r="G335" s="67" t="s">
        <v>522</v>
      </c>
      <c r="H335" s="67" t="s">
        <v>630</v>
      </c>
      <c r="I335" s="67" t="s">
        <v>70</v>
      </c>
      <c r="J335" s="67" t="s">
        <v>70</v>
      </c>
      <c r="K335" s="67">
        <v>8</v>
      </c>
      <c r="L335" s="299">
        <f t="shared" si="12"/>
        <v>0</v>
      </c>
      <c r="M335" s="221" t="s">
        <v>629</v>
      </c>
      <c r="N335" s="220">
        <f>IF(OR(M335="nio",M335="eigen dienst"),0,IF(M335&gt;0,M335*K335/O335,0))*VLOOKUP(B335,'2-Kosten per locatie'!$A$14:$C$33,3,FALSE)</f>
        <v>0</v>
      </c>
      <c r="O335" s="300">
        <f>IF(OR(M335="nio",M335="eigen dienst"),0,IF(M335&gt;0,VLOOKUP(H335,'3-Productie normen'!A:J,VLOOKUP(M335,'3-Productie normen'!$B$34:$C$35,2,FALSE),FALSE)))</f>
        <v>0</v>
      </c>
      <c r="P335" s="301">
        <f>VLOOKUP(H335,'3-Productie normen'!A:L,12,FALSE)</f>
        <v>0</v>
      </c>
      <c r="Q335" s="301"/>
      <c r="S335" s="302">
        <f t="shared" si="13"/>
        <v>0</v>
      </c>
    </row>
    <row r="336" spans="1:19" ht="14.15" customHeight="1">
      <c r="A336" s="71">
        <v>336</v>
      </c>
      <c r="B336" s="67" t="s">
        <v>213</v>
      </c>
      <c r="C336" s="467" t="s">
        <v>623</v>
      </c>
      <c r="D336" s="467" t="s">
        <v>720</v>
      </c>
      <c r="E336" s="67" t="s">
        <v>713</v>
      </c>
      <c r="F336" s="67" t="s">
        <v>221</v>
      </c>
      <c r="G336" s="67" t="s">
        <v>515</v>
      </c>
      <c r="H336" s="67" t="s">
        <v>609</v>
      </c>
      <c r="I336" s="67" t="s">
        <v>70</v>
      </c>
      <c r="J336" s="67" t="s">
        <v>70</v>
      </c>
      <c r="K336" s="67">
        <v>49.4</v>
      </c>
      <c r="L336" s="299">
        <f t="shared" si="12"/>
        <v>200</v>
      </c>
      <c r="M336" s="221">
        <v>200</v>
      </c>
      <c r="N336" s="220" t="e">
        <f>IF(OR(M336="nio",M336="eigen dienst"),0,IF(M336&gt;0,M336*K336/O336,0))*VLOOKUP(B336,'2-Kosten per locatie'!$A$14:$C$33,3,FALSE)</f>
        <v>#DIV/0!</v>
      </c>
      <c r="O336" s="300">
        <f>IF(OR(M336="nio",M336="eigen dienst"),0,IF(M336&gt;0,VLOOKUP(H336,'3-Productie normen'!A:J,VLOOKUP(M336,'3-Productie normen'!$B$34:$C$35,2,FALSE),FALSE)))</f>
        <v>0</v>
      </c>
      <c r="P336" s="301" t="str">
        <f>VLOOKUP(H336,'3-Productie normen'!A:L,12,FALSE)</f>
        <v>L</v>
      </c>
      <c r="Q336" s="301"/>
      <c r="S336" s="302">
        <f t="shared" si="13"/>
        <v>9880</v>
      </c>
    </row>
    <row r="337" spans="1:19" ht="14.15" customHeight="1">
      <c r="A337" s="71">
        <v>337</v>
      </c>
      <c r="B337" s="67" t="s">
        <v>213</v>
      </c>
      <c r="C337" s="467" t="s">
        <v>623</v>
      </c>
      <c r="D337" s="467" t="s">
        <v>720</v>
      </c>
      <c r="E337" s="67" t="s">
        <v>713</v>
      </c>
      <c r="F337" s="67" t="s">
        <v>238</v>
      </c>
      <c r="G337" s="67" t="s">
        <v>514</v>
      </c>
      <c r="H337" s="67" t="s">
        <v>37</v>
      </c>
      <c r="I337" s="67" t="s">
        <v>202</v>
      </c>
      <c r="J337" s="67" t="s">
        <v>179</v>
      </c>
      <c r="K337" s="67">
        <v>15.7</v>
      </c>
      <c r="L337" s="299">
        <f t="shared" si="12"/>
        <v>200</v>
      </c>
      <c r="M337" s="221">
        <v>200</v>
      </c>
      <c r="N337" s="220" t="e">
        <f>IF(OR(M337="nio",M337="eigen dienst"),0,IF(M337&gt;0,M337*K337/O337,0))*VLOOKUP(B337,'2-Kosten per locatie'!$A$14:$C$33,3,FALSE)</f>
        <v>#DIV/0!</v>
      </c>
      <c r="O337" s="300">
        <f>IF(OR(M337="nio",M337="eigen dienst"),0,IF(M337&gt;0,VLOOKUP(H337,'3-Productie normen'!A:J,VLOOKUP(M337,'3-Productie normen'!$B$34:$C$35,2,FALSE),FALSE)))</f>
        <v>0</v>
      </c>
      <c r="P337" s="301" t="str">
        <f>VLOOKUP(H337,'3-Productie normen'!A:L,12,FALSE)</f>
        <v>S</v>
      </c>
      <c r="Q337" s="301"/>
      <c r="S337" s="302">
        <f t="shared" si="13"/>
        <v>3140</v>
      </c>
    </row>
    <row r="338" spans="1:19" ht="14.15" customHeight="1">
      <c r="A338" s="71">
        <v>338</v>
      </c>
      <c r="B338" s="67" t="s">
        <v>213</v>
      </c>
      <c r="C338" s="467" t="s">
        <v>623</v>
      </c>
      <c r="D338" s="467" t="s">
        <v>720</v>
      </c>
      <c r="E338" s="67" t="s">
        <v>713</v>
      </c>
      <c r="F338" s="67" t="s">
        <v>239</v>
      </c>
      <c r="G338" s="67" t="s">
        <v>520</v>
      </c>
      <c r="H338" s="67" t="s">
        <v>520</v>
      </c>
      <c r="I338" s="67" t="s">
        <v>70</v>
      </c>
      <c r="J338" s="67" t="s">
        <v>70</v>
      </c>
      <c r="K338" s="67">
        <v>88.4</v>
      </c>
      <c r="L338" s="299">
        <f t="shared" si="12"/>
        <v>200</v>
      </c>
      <c r="M338" s="221">
        <v>200</v>
      </c>
      <c r="N338" s="220" t="e">
        <f>IF(OR(M338="nio",M338="eigen dienst"),0,IF(M338&gt;0,M338*K338/O338,0))*VLOOKUP(B338,'2-Kosten per locatie'!$A$14:$C$33,3,FALSE)</f>
        <v>#DIV/0!</v>
      </c>
      <c r="O338" s="300">
        <f>IF(OR(M338="nio",M338="eigen dienst"),0,IF(M338&gt;0,VLOOKUP(H338,'3-Productie normen'!A:J,VLOOKUP(M338,'3-Productie normen'!$B$34:$C$35,2,FALSE),FALSE)))</f>
        <v>0</v>
      </c>
      <c r="P338" s="301" t="str">
        <f>VLOOKUP(H338,'3-Productie normen'!A:L,12,FALSE)</f>
        <v>V</v>
      </c>
      <c r="Q338" s="301"/>
      <c r="S338" s="302">
        <f t="shared" si="13"/>
        <v>17680</v>
      </c>
    </row>
    <row r="339" spans="1:19" ht="14.15" customHeight="1">
      <c r="A339" s="71">
        <v>339</v>
      </c>
      <c r="B339" s="67" t="s">
        <v>213</v>
      </c>
      <c r="C339" s="467" t="s">
        <v>623</v>
      </c>
      <c r="D339" s="467" t="s">
        <v>720</v>
      </c>
      <c r="E339" s="67" t="s">
        <v>713</v>
      </c>
      <c r="F339" s="67" t="s">
        <v>240</v>
      </c>
      <c r="G339" s="67" t="s">
        <v>512</v>
      </c>
      <c r="H339" s="67" t="s">
        <v>39</v>
      </c>
      <c r="I339" s="67" t="s">
        <v>70</v>
      </c>
      <c r="J339" s="67" t="s">
        <v>70</v>
      </c>
      <c r="K339" s="67">
        <v>46.1</v>
      </c>
      <c r="L339" s="299">
        <f t="shared" si="12"/>
        <v>200</v>
      </c>
      <c r="M339" s="221">
        <v>200</v>
      </c>
      <c r="N339" s="220" t="e">
        <f>IF(OR(M339="nio",M339="eigen dienst"),0,IF(M339&gt;0,M339*K339/O339,0))*VLOOKUP(B339,'2-Kosten per locatie'!$A$14:$C$33,3,FALSE)</f>
        <v>#DIV/0!</v>
      </c>
      <c r="O339" s="300">
        <f>IF(OR(M339="nio",M339="eigen dienst"),0,IF(M339&gt;0,VLOOKUP(H339,'3-Productie normen'!A:J,VLOOKUP(M339,'3-Productie normen'!$B$34:$C$35,2,FALSE),FALSE)))</f>
        <v>0</v>
      </c>
      <c r="P339" s="301" t="str">
        <f>VLOOKUP(H339,'3-Productie normen'!A:L,12,FALSE)</f>
        <v>V</v>
      </c>
      <c r="Q339" s="301"/>
      <c r="S339" s="302">
        <f t="shared" si="13"/>
        <v>9220</v>
      </c>
    </row>
    <row r="340" spans="1:19" ht="14.15" customHeight="1">
      <c r="A340" s="71">
        <v>340</v>
      </c>
      <c r="B340" s="67" t="s">
        <v>213</v>
      </c>
      <c r="C340" s="467" t="s">
        <v>623</v>
      </c>
      <c r="D340" s="467" t="s">
        <v>720</v>
      </c>
      <c r="E340" s="67" t="s">
        <v>713</v>
      </c>
      <c r="F340" s="67" t="s">
        <v>241</v>
      </c>
      <c r="G340" s="67" t="s">
        <v>539</v>
      </c>
      <c r="H340" s="67" t="s">
        <v>37</v>
      </c>
      <c r="I340" s="67" t="s">
        <v>202</v>
      </c>
      <c r="J340" s="67" t="s">
        <v>179</v>
      </c>
      <c r="K340" s="67">
        <v>5</v>
      </c>
      <c r="L340" s="299">
        <f t="shared" si="12"/>
        <v>200</v>
      </c>
      <c r="M340" s="221">
        <v>200</v>
      </c>
      <c r="N340" s="220" t="e">
        <f>IF(OR(M340="nio",M340="eigen dienst"),0,IF(M340&gt;0,M340*K340/O340,0))*VLOOKUP(B340,'2-Kosten per locatie'!$A$14:$C$33,3,FALSE)</f>
        <v>#DIV/0!</v>
      </c>
      <c r="O340" s="300">
        <f>IF(OR(M340="nio",M340="eigen dienst"),0,IF(M340&gt;0,VLOOKUP(H340,'3-Productie normen'!A:J,VLOOKUP(M340,'3-Productie normen'!$B$34:$C$35,2,FALSE),FALSE)))</f>
        <v>0</v>
      </c>
      <c r="P340" s="301" t="str">
        <f>VLOOKUP(H340,'3-Productie normen'!A:L,12,FALSE)</f>
        <v>S</v>
      </c>
      <c r="Q340" s="301"/>
      <c r="S340" s="302">
        <f t="shared" si="13"/>
        <v>1000</v>
      </c>
    </row>
    <row r="341" spans="1:19" ht="14.15" customHeight="1">
      <c r="A341" s="71">
        <v>341</v>
      </c>
      <c r="B341" s="67" t="s">
        <v>213</v>
      </c>
      <c r="C341" s="467" t="s">
        <v>623</v>
      </c>
      <c r="D341" s="467" t="s">
        <v>720</v>
      </c>
      <c r="E341" s="67" t="s">
        <v>713</v>
      </c>
      <c r="F341" s="67" t="s">
        <v>242</v>
      </c>
      <c r="G341" s="67" t="s">
        <v>519</v>
      </c>
      <c r="H341" s="67" t="s">
        <v>41</v>
      </c>
      <c r="I341" s="67" t="s">
        <v>70</v>
      </c>
      <c r="J341" s="67" t="s">
        <v>70</v>
      </c>
      <c r="K341" s="67">
        <v>12.5</v>
      </c>
      <c r="L341" s="299">
        <f t="shared" si="12"/>
        <v>200</v>
      </c>
      <c r="M341" s="221">
        <v>200</v>
      </c>
      <c r="N341" s="220" t="e">
        <f>IF(OR(M341="nio",M341="eigen dienst"),0,IF(M341&gt;0,M341*K341/O341,0))*VLOOKUP(B341,'2-Kosten per locatie'!$A$14:$C$33,3,FALSE)</f>
        <v>#DIV/0!</v>
      </c>
      <c r="O341" s="300">
        <f>IF(OR(M341="nio",M341="eigen dienst"),0,IF(M341&gt;0,VLOOKUP(H341,'3-Productie normen'!A:J,VLOOKUP(M341,'3-Productie normen'!$B$34:$C$35,2,FALSE),FALSE)))</f>
        <v>0</v>
      </c>
      <c r="P341" s="301" t="str">
        <f>VLOOKUP(H341,'3-Productie normen'!A:L,12,FALSE)</f>
        <v>V</v>
      </c>
      <c r="Q341" s="301"/>
      <c r="S341" s="302">
        <f t="shared" si="13"/>
        <v>2500</v>
      </c>
    </row>
    <row r="342" spans="1:19" ht="14.15" customHeight="1">
      <c r="A342" s="71">
        <v>342</v>
      </c>
      <c r="B342" s="67" t="s">
        <v>213</v>
      </c>
      <c r="C342" s="467" t="s">
        <v>623</v>
      </c>
      <c r="D342" s="467" t="s">
        <v>720</v>
      </c>
      <c r="E342" s="67" t="s">
        <v>713</v>
      </c>
      <c r="F342" s="67" t="s">
        <v>243</v>
      </c>
      <c r="G342" s="67" t="s">
        <v>512</v>
      </c>
      <c r="H342" s="67" t="s">
        <v>39</v>
      </c>
      <c r="I342" s="67" t="s">
        <v>70</v>
      </c>
      <c r="J342" s="67" t="s">
        <v>70</v>
      </c>
      <c r="K342" s="67">
        <v>61.6</v>
      </c>
      <c r="L342" s="299">
        <f t="shared" si="12"/>
        <v>200</v>
      </c>
      <c r="M342" s="221">
        <v>200</v>
      </c>
      <c r="N342" s="220" t="e">
        <f>IF(OR(M342="nio",M342="eigen dienst"),0,IF(M342&gt;0,M342*K342/O342,0))*VLOOKUP(B342,'2-Kosten per locatie'!$A$14:$C$33,3,FALSE)</f>
        <v>#DIV/0!</v>
      </c>
      <c r="O342" s="300">
        <f>IF(OR(M342="nio",M342="eigen dienst"),0,IF(M342&gt;0,VLOOKUP(H342,'3-Productie normen'!A:J,VLOOKUP(M342,'3-Productie normen'!$B$34:$C$35,2,FALSE),FALSE)))</f>
        <v>0</v>
      </c>
      <c r="P342" s="301" t="str">
        <f>VLOOKUP(H342,'3-Productie normen'!A:L,12,FALSE)</f>
        <v>V</v>
      </c>
      <c r="Q342" s="301"/>
      <c r="S342" s="302">
        <f t="shared" si="13"/>
        <v>12320</v>
      </c>
    </row>
    <row r="343" spans="1:19" ht="14.15" customHeight="1">
      <c r="A343" s="71">
        <v>343</v>
      </c>
      <c r="B343" s="67" t="s">
        <v>213</v>
      </c>
      <c r="C343" s="467" t="s">
        <v>623</v>
      </c>
      <c r="D343" s="467" t="s">
        <v>720</v>
      </c>
      <c r="E343" s="67" t="s">
        <v>713</v>
      </c>
      <c r="F343" s="67" t="s">
        <v>244</v>
      </c>
      <c r="G343" s="67" t="s">
        <v>47</v>
      </c>
      <c r="H343" s="67" t="s">
        <v>47</v>
      </c>
      <c r="I343" s="67" t="s">
        <v>597</v>
      </c>
      <c r="J343" s="67" t="s">
        <v>201</v>
      </c>
      <c r="K343" s="67">
        <v>9.5</v>
      </c>
      <c r="L343" s="299">
        <f t="shared" si="12"/>
        <v>200</v>
      </c>
      <c r="M343" s="221">
        <v>200</v>
      </c>
      <c r="N343" s="220" t="e">
        <f>IF(OR(M343="nio",M343="eigen dienst"),0,IF(M343&gt;0,M343*K343/O343,0))*VLOOKUP(B343,'2-Kosten per locatie'!$A$14:$C$33,3,FALSE)</f>
        <v>#DIV/0!</v>
      </c>
      <c r="O343" s="300">
        <f>IF(OR(M343="nio",M343="eigen dienst"),0,IF(M343&gt;0,VLOOKUP(H343,'3-Productie normen'!A:J,VLOOKUP(M343,'3-Productie normen'!$B$34:$C$35,2,FALSE),FALSE)))</f>
        <v>0</v>
      </c>
      <c r="P343" s="301" t="str">
        <f>VLOOKUP(H343,'3-Productie normen'!A:L,12,FALSE)</f>
        <v>V</v>
      </c>
      <c r="Q343" s="301"/>
      <c r="S343" s="302">
        <f t="shared" si="13"/>
        <v>1900</v>
      </c>
    </row>
    <row r="344" spans="1:19" ht="14.15" customHeight="1">
      <c r="A344" s="71">
        <v>344</v>
      </c>
      <c r="B344" s="67" t="s">
        <v>213</v>
      </c>
      <c r="C344" s="467" t="s">
        <v>623</v>
      </c>
      <c r="D344" s="467" t="s">
        <v>720</v>
      </c>
      <c r="E344" s="67" t="s">
        <v>713</v>
      </c>
      <c r="F344" s="67" t="s">
        <v>245</v>
      </c>
      <c r="G344" s="67" t="s">
        <v>47</v>
      </c>
      <c r="H344" s="67" t="s">
        <v>47</v>
      </c>
      <c r="I344" s="67" t="s">
        <v>597</v>
      </c>
      <c r="J344" s="67" t="s">
        <v>201</v>
      </c>
      <c r="K344" s="67">
        <v>7</v>
      </c>
      <c r="L344" s="299">
        <f t="shared" si="12"/>
        <v>200</v>
      </c>
      <c r="M344" s="221">
        <v>200</v>
      </c>
      <c r="N344" s="220" t="e">
        <f>IF(OR(M344="nio",M344="eigen dienst"),0,IF(M344&gt;0,M344*K344/O344,0))*VLOOKUP(B344,'2-Kosten per locatie'!$A$14:$C$33,3,FALSE)</f>
        <v>#DIV/0!</v>
      </c>
      <c r="O344" s="300">
        <f>IF(OR(M344="nio",M344="eigen dienst"),0,IF(M344&gt;0,VLOOKUP(H344,'3-Productie normen'!A:J,VLOOKUP(M344,'3-Productie normen'!$B$34:$C$35,2,FALSE),FALSE)))</f>
        <v>0</v>
      </c>
      <c r="P344" s="301" t="str">
        <f>VLOOKUP(H344,'3-Productie normen'!A:L,12,FALSE)</f>
        <v>V</v>
      </c>
      <c r="Q344" s="301"/>
      <c r="S344" s="302">
        <f t="shared" si="13"/>
        <v>1400</v>
      </c>
    </row>
    <row r="345" spans="1:19" ht="14.15" customHeight="1">
      <c r="A345" s="71">
        <v>345</v>
      </c>
      <c r="B345" s="67" t="s">
        <v>213</v>
      </c>
      <c r="C345" s="467" t="s">
        <v>623</v>
      </c>
      <c r="D345" s="467" t="s">
        <v>720</v>
      </c>
      <c r="E345" s="67" t="s">
        <v>713</v>
      </c>
      <c r="F345" s="67" t="s">
        <v>246</v>
      </c>
      <c r="G345" s="67" t="s">
        <v>523</v>
      </c>
      <c r="H345" s="67" t="s">
        <v>630</v>
      </c>
      <c r="I345" s="67" t="s">
        <v>70</v>
      </c>
      <c r="J345" s="67" t="s">
        <v>70</v>
      </c>
      <c r="K345" s="67">
        <v>1.2</v>
      </c>
      <c r="L345" s="299">
        <f t="shared" si="12"/>
        <v>0</v>
      </c>
      <c r="M345" s="221" t="s">
        <v>629</v>
      </c>
      <c r="N345" s="220">
        <f>IF(OR(M345="nio",M345="eigen dienst"),0,IF(M345&gt;0,M345*K345/O345,0))*VLOOKUP(B345,'2-Kosten per locatie'!$A$14:$C$33,3,FALSE)</f>
        <v>0</v>
      </c>
      <c r="O345" s="300">
        <f>IF(OR(M345="nio",M345="eigen dienst"),0,IF(M345&gt;0,VLOOKUP(H345,'3-Productie normen'!A:J,VLOOKUP(M345,'3-Productie normen'!$B$34:$C$35,2,FALSE),FALSE)))</f>
        <v>0</v>
      </c>
      <c r="P345" s="301">
        <f>VLOOKUP(H345,'3-Productie normen'!A:L,12,FALSE)</f>
        <v>0</v>
      </c>
      <c r="Q345" s="301"/>
      <c r="S345" s="302">
        <f t="shared" si="13"/>
        <v>0</v>
      </c>
    </row>
    <row r="346" spans="1:19" ht="14.15" customHeight="1">
      <c r="A346" s="71">
        <v>346</v>
      </c>
      <c r="B346" s="67" t="s">
        <v>213</v>
      </c>
      <c r="C346" s="467" t="s">
        <v>623</v>
      </c>
      <c r="D346" s="467" t="s">
        <v>720</v>
      </c>
      <c r="E346" s="67" t="s">
        <v>713</v>
      </c>
      <c r="F346" s="67" t="s">
        <v>247</v>
      </c>
      <c r="G346" s="67" t="s">
        <v>523</v>
      </c>
      <c r="H346" s="67" t="s">
        <v>630</v>
      </c>
      <c r="I346" s="67" t="s">
        <v>70</v>
      </c>
      <c r="J346" s="67" t="s">
        <v>70</v>
      </c>
      <c r="K346" s="67">
        <v>1.4</v>
      </c>
      <c r="L346" s="299">
        <f t="shared" si="12"/>
        <v>0</v>
      </c>
      <c r="M346" s="221" t="s">
        <v>629</v>
      </c>
      <c r="N346" s="220">
        <f>IF(OR(M346="nio",M346="eigen dienst"),0,IF(M346&gt;0,M346*K346/O346,0))*VLOOKUP(B346,'2-Kosten per locatie'!$A$14:$C$33,3,FALSE)</f>
        <v>0</v>
      </c>
      <c r="O346" s="300">
        <f>IF(OR(M346="nio",M346="eigen dienst"),0,IF(M346&gt;0,VLOOKUP(H346,'3-Productie normen'!A:J,VLOOKUP(M346,'3-Productie normen'!$B$34:$C$35,2,FALSE),FALSE)))</f>
        <v>0</v>
      </c>
      <c r="P346" s="301">
        <f>VLOOKUP(H346,'3-Productie normen'!A:L,12,FALSE)</f>
        <v>0</v>
      </c>
      <c r="Q346" s="301"/>
      <c r="S346" s="302">
        <f t="shared" si="13"/>
        <v>0</v>
      </c>
    </row>
    <row r="347" spans="1:19" ht="14.15" customHeight="1">
      <c r="A347" s="71">
        <v>347</v>
      </c>
      <c r="B347" s="67" t="s">
        <v>213</v>
      </c>
      <c r="C347" s="467" t="s">
        <v>623</v>
      </c>
      <c r="D347" s="467" t="s">
        <v>720</v>
      </c>
      <c r="E347" s="67" t="s">
        <v>713</v>
      </c>
      <c r="F347" s="67" t="s">
        <v>222</v>
      </c>
      <c r="G347" s="67" t="s">
        <v>515</v>
      </c>
      <c r="H347" s="67" t="s">
        <v>609</v>
      </c>
      <c r="I347" s="67" t="s">
        <v>70</v>
      </c>
      <c r="J347" s="67" t="s">
        <v>70</v>
      </c>
      <c r="K347" s="67">
        <v>49.4</v>
      </c>
      <c r="L347" s="299">
        <f t="shared" si="12"/>
        <v>200</v>
      </c>
      <c r="M347" s="221">
        <v>200</v>
      </c>
      <c r="N347" s="220" t="e">
        <f>IF(OR(M347="nio",M347="eigen dienst"),0,IF(M347&gt;0,M347*K347/O347,0))*VLOOKUP(B347,'2-Kosten per locatie'!$A$14:$C$33,3,FALSE)</f>
        <v>#DIV/0!</v>
      </c>
      <c r="O347" s="300">
        <f>IF(OR(M347="nio",M347="eigen dienst"),0,IF(M347&gt;0,VLOOKUP(H347,'3-Productie normen'!A:J,VLOOKUP(M347,'3-Productie normen'!$B$34:$C$35,2,FALSE),FALSE)))</f>
        <v>0</v>
      </c>
      <c r="P347" s="301" t="str">
        <f>VLOOKUP(H347,'3-Productie normen'!A:L,12,FALSE)</f>
        <v>L</v>
      </c>
      <c r="Q347" s="301"/>
      <c r="S347" s="302">
        <f t="shared" si="13"/>
        <v>9880</v>
      </c>
    </row>
    <row r="348" spans="1:19" ht="14.15" customHeight="1">
      <c r="A348" s="71">
        <v>348</v>
      </c>
      <c r="B348" s="67" t="s">
        <v>213</v>
      </c>
      <c r="C348" s="467" t="s">
        <v>623</v>
      </c>
      <c r="D348" s="467" t="s">
        <v>720</v>
      </c>
      <c r="E348" s="67" t="s">
        <v>713</v>
      </c>
      <c r="F348" s="67" t="s">
        <v>248</v>
      </c>
      <c r="G348" s="67" t="s">
        <v>523</v>
      </c>
      <c r="H348" s="67" t="s">
        <v>630</v>
      </c>
      <c r="I348" s="67" t="s">
        <v>70</v>
      </c>
      <c r="J348" s="67" t="s">
        <v>70</v>
      </c>
      <c r="K348" s="67">
        <v>3.2</v>
      </c>
      <c r="L348" s="299">
        <f t="shared" si="12"/>
        <v>0</v>
      </c>
      <c r="M348" s="221" t="s">
        <v>629</v>
      </c>
      <c r="N348" s="220">
        <f>IF(OR(M348="nio",M348="eigen dienst"),0,IF(M348&gt;0,M348*K348/O348,0))*VLOOKUP(B348,'2-Kosten per locatie'!$A$14:$C$33,3,FALSE)</f>
        <v>0</v>
      </c>
      <c r="O348" s="300">
        <f>IF(OR(M348="nio",M348="eigen dienst"),0,IF(M348&gt;0,VLOOKUP(H348,'3-Productie normen'!A:J,VLOOKUP(M348,'3-Productie normen'!$B$34:$C$35,2,FALSE),FALSE)))</f>
        <v>0</v>
      </c>
      <c r="P348" s="301">
        <f>VLOOKUP(H348,'3-Productie normen'!A:L,12,FALSE)</f>
        <v>0</v>
      </c>
      <c r="Q348" s="301"/>
      <c r="S348" s="302">
        <f t="shared" si="13"/>
        <v>0</v>
      </c>
    </row>
    <row r="349" spans="1:19" ht="14.15" customHeight="1">
      <c r="A349" s="71">
        <v>349</v>
      </c>
      <c r="B349" s="67" t="s">
        <v>213</v>
      </c>
      <c r="C349" s="467" t="s">
        <v>623</v>
      </c>
      <c r="D349" s="467" t="s">
        <v>720</v>
      </c>
      <c r="E349" s="67" t="s">
        <v>713</v>
      </c>
      <c r="F349" s="67" t="s">
        <v>249</v>
      </c>
      <c r="G349" s="67" t="s">
        <v>583</v>
      </c>
      <c r="H349" s="67" t="s">
        <v>44</v>
      </c>
      <c r="I349" s="67" t="s">
        <v>599</v>
      </c>
      <c r="J349" s="67" t="s">
        <v>200</v>
      </c>
      <c r="K349" s="67">
        <v>6.6</v>
      </c>
      <c r="L349" s="299">
        <f t="shared" si="12"/>
        <v>0</v>
      </c>
      <c r="M349" s="221" t="s">
        <v>629</v>
      </c>
      <c r="N349" s="220">
        <f>IF(OR(M349="nio",M349="eigen dienst"),0,IF(M349&gt;0,M349*K349/O349,0))*VLOOKUP(B349,'2-Kosten per locatie'!$A$14:$C$33,3,FALSE)</f>
        <v>0</v>
      </c>
      <c r="O349" s="300">
        <f>IF(OR(M349="nio",M349="eigen dienst"),0,IF(M349&gt;0,VLOOKUP(H349,'3-Productie normen'!A:J,VLOOKUP(M349,'3-Productie normen'!$B$34:$C$35,2,FALSE),FALSE)))</f>
        <v>0</v>
      </c>
      <c r="P349" s="301" t="str">
        <f>VLOOKUP(H349,'3-Productie normen'!A:L,12,FALSE)</f>
        <v>V</v>
      </c>
      <c r="Q349" s="301"/>
      <c r="S349" s="302">
        <f t="shared" si="13"/>
        <v>0</v>
      </c>
    </row>
    <row r="350" spans="1:19" ht="14.15" customHeight="1">
      <c r="A350" s="71">
        <v>350</v>
      </c>
      <c r="B350" s="67" t="s">
        <v>213</v>
      </c>
      <c r="C350" s="467" t="s">
        <v>623</v>
      </c>
      <c r="D350" s="467" t="s">
        <v>720</v>
      </c>
      <c r="E350" s="67" t="s">
        <v>713</v>
      </c>
      <c r="F350" s="67" t="s">
        <v>250</v>
      </c>
      <c r="G350" s="67" t="s">
        <v>48</v>
      </c>
      <c r="H350" s="67" t="s">
        <v>48</v>
      </c>
      <c r="I350" s="67" t="s">
        <v>70</v>
      </c>
      <c r="J350" s="67" t="s">
        <v>70</v>
      </c>
      <c r="K350" s="67">
        <v>3.4</v>
      </c>
      <c r="L350" s="299">
        <f t="shared" si="12"/>
        <v>200</v>
      </c>
      <c r="M350" s="221">
        <v>200</v>
      </c>
      <c r="N350" s="220" t="e">
        <f>IF(OR(M350="nio",M350="eigen dienst"),0,IF(M350&gt;0,M350*K350/O350,0))*VLOOKUP(B350,'2-Kosten per locatie'!$A$14:$C$33,3,FALSE)</f>
        <v>#DIV/0!</v>
      </c>
      <c r="O350" s="300">
        <f>IF(OR(M350="nio",M350="eigen dienst"),0,IF(M350&gt;0,VLOOKUP(H350,'3-Productie normen'!A:J,VLOOKUP(M350,'3-Productie normen'!$B$34:$C$35,2,FALSE),FALSE)))</f>
        <v>0</v>
      </c>
      <c r="P350" s="301" t="str">
        <f>VLOOKUP(H350,'3-Productie normen'!A:L,12,FALSE)</f>
        <v>V</v>
      </c>
      <c r="Q350" s="301"/>
      <c r="S350" s="302">
        <f t="shared" si="13"/>
        <v>680</v>
      </c>
    </row>
    <row r="351" spans="1:19" ht="14.15" customHeight="1">
      <c r="A351" s="71">
        <v>351</v>
      </c>
      <c r="B351" s="67" t="s">
        <v>213</v>
      </c>
      <c r="C351" s="467" t="s">
        <v>623</v>
      </c>
      <c r="D351" s="467" t="s">
        <v>720</v>
      </c>
      <c r="E351" s="67" t="s">
        <v>713</v>
      </c>
      <c r="F351" s="67" t="s">
        <v>251</v>
      </c>
      <c r="G351" s="67" t="s">
        <v>48</v>
      </c>
      <c r="H351" s="67" t="s">
        <v>48</v>
      </c>
      <c r="I351" s="67" t="s">
        <v>605</v>
      </c>
      <c r="J351" s="67" t="s">
        <v>605</v>
      </c>
      <c r="K351" s="67">
        <v>4.8</v>
      </c>
      <c r="L351" s="299">
        <f t="shared" si="12"/>
        <v>200</v>
      </c>
      <c r="M351" s="221">
        <v>200</v>
      </c>
      <c r="N351" s="220" t="e">
        <f>IF(OR(M351="nio",M351="eigen dienst"),0,IF(M351&gt;0,M351*K351/O351,0))*VLOOKUP(B351,'2-Kosten per locatie'!$A$14:$C$33,3,FALSE)</f>
        <v>#DIV/0!</v>
      </c>
      <c r="O351" s="300">
        <f>IF(OR(M351="nio",M351="eigen dienst"),0,IF(M351&gt;0,VLOOKUP(H351,'3-Productie normen'!A:J,VLOOKUP(M351,'3-Productie normen'!$B$34:$C$35,2,FALSE),FALSE)))</f>
        <v>0</v>
      </c>
      <c r="P351" s="301" t="str">
        <f>VLOOKUP(H351,'3-Productie normen'!A:L,12,FALSE)</f>
        <v>V</v>
      </c>
      <c r="Q351" s="301"/>
      <c r="S351" s="302">
        <f t="shared" si="13"/>
        <v>960</v>
      </c>
    </row>
    <row r="352" spans="1:19" ht="14.15" customHeight="1">
      <c r="A352" s="71">
        <v>352</v>
      </c>
      <c r="B352" s="67" t="s">
        <v>213</v>
      </c>
      <c r="C352" s="467" t="s">
        <v>623</v>
      </c>
      <c r="D352" s="467" t="s">
        <v>720</v>
      </c>
      <c r="E352" s="67" t="s">
        <v>713</v>
      </c>
      <c r="F352" s="67" t="s">
        <v>252</v>
      </c>
      <c r="G352" s="67" t="s">
        <v>71</v>
      </c>
      <c r="H352" s="67" t="s">
        <v>37</v>
      </c>
      <c r="I352" s="67" t="s">
        <v>202</v>
      </c>
      <c r="J352" s="67" t="s">
        <v>179</v>
      </c>
      <c r="K352" s="67">
        <v>0.9</v>
      </c>
      <c r="L352" s="299">
        <f t="shared" si="12"/>
        <v>200</v>
      </c>
      <c r="M352" s="221">
        <v>200</v>
      </c>
      <c r="N352" s="220" t="e">
        <f>IF(OR(M352="nio",M352="eigen dienst"),0,IF(M352&gt;0,M352*K352/O352,0))*VLOOKUP(B352,'2-Kosten per locatie'!$A$14:$C$33,3,FALSE)</f>
        <v>#DIV/0!</v>
      </c>
      <c r="O352" s="300">
        <f>IF(OR(M352="nio",M352="eigen dienst"),0,IF(M352&gt;0,VLOOKUP(H352,'3-Productie normen'!A:J,VLOOKUP(M352,'3-Productie normen'!$B$34:$C$35,2,FALSE),FALSE)))</f>
        <v>0</v>
      </c>
      <c r="P352" s="301" t="str">
        <f>VLOOKUP(H352,'3-Productie normen'!A:L,12,FALSE)</f>
        <v>S</v>
      </c>
      <c r="Q352" s="301"/>
      <c r="S352" s="302">
        <f t="shared" si="13"/>
        <v>180</v>
      </c>
    </row>
    <row r="353" spans="1:19" ht="14.15" customHeight="1">
      <c r="A353" s="71">
        <v>353</v>
      </c>
      <c r="B353" s="67" t="s">
        <v>213</v>
      </c>
      <c r="C353" s="467" t="s">
        <v>623</v>
      </c>
      <c r="D353" s="467" t="s">
        <v>720</v>
      </c>
      <c r="E353" s="67" t="s">
        <v>713</v>
      </c>
      <c r="F353" s="67" t="s">
        <v>223</v>
      </c>
      <c r="G353" s="67" t="s">
        <v>513</v>
      </c>
      <c r="H353" s="67" t="s">
        <v>45</v>
      </c>
      <c r="I353" s="67" t="s">
        <v>599</v>
      </c>
      <c r="J353" s="67" t="s">
        <v>200</v>
      </c>
      <c r="K353" s="67">
        <v>85.6</v>
      </c>
      <c r="L353" s="299">
        <f t="shared" si="12"/>
        <v>200</v>
      </c>
      <c r="M353" s="221">
        <v>200</v>
      </c>
      <c r="N353" s="220" t="e">
        <f>IF(OR(M353="nio",M353="eigen dienst"),0,IF(M353&gt;0,M353*K353/O353,0))*VLOOKUP(B353,'2-Kosten per locatie'!$A$14:$C$33,3,FALSE)</f>
        <v>#DIV/0!</v>
      </c>
      <c r="O353" s="300">
        <f>IF(OR(M353="nio",M353="eigen dienst"),0,IF(M353&gt;0,VLOOKUP(H353,'3-Productie normen'!A:J,VLOOKUP(M353,'3-Productie normen'!$B$34:$C$35,2,FALSE),FALSE)))</f>
        <v>0</v>
      </c>
      <c r="P353" s="301" t="str">
        <f>VLOOKUP(H353,'3-Productie normen'!A:L,12,FALSE)</f>
        <v>L</v>
      </c>
      <c r="Q353" s="301"/>
      <c r="S353" s="302">
        <f t="shared" si="13"/>
        <v>17120</v>
      </c>
    </row>
    <row r="354" spans="1:19" ht="14.15" customHeight="1">
      <c r="A354" s="71">
        <v>354</v>
      </c>
      <c r="B354" s="67" t="s">
        <v>213</v>
      </c>
      <c r="C354" s="467" t="s">
        <v>623</v>
      </c>
      <c r="D354" s="467" t="s">
        <v>720</v>
      </c>
      <c r="E354" s="67" t="s">
        <v>713</v>
      </c>
      <c r="F354" s="67" t="s">
        <v>265</v>
      </c>
      <c r="G354" s="67" t="s">
        <v>515</v>
      </c>
      <c r="H354" s="67" t="s">
        <v>609</v>
      </c>
      <c r="I354" s="67" t="s">
        <v>70</v>
      </c>
      <c r="J354" s="67" t="s">
        <v>70</v>
      </c>
      <c r="K354" s="67">
        <v>49.4</v>
      </c>
      <c r="L354" s="299">
        <f t="shared" ref="L354:L365" si="14">SUM(M354:M354)</f>
        <v>200</v>
      </c>
      <c r="M354" s="221">
        <v>200</v>
      </c>
      <c r="N354" s="220" t="e">
        <f>IF(OR(M354="nio",M354="eigen dienst"),0,IF(M354&gt;0,M354*K354/O354,0))*VLOOKUP(B354,'2-Kosten per locatie'!$A$14:$C$33,3,FALSE)</f>
        <v>#DIV/0!</v>
      </c>
      <c r="O354" s="300">
        <f>IF(OR(M354="nio",M354="eigen dienst"),0,IF(M354&gt;0,VLOOKUP(H354,'3-Productie normen'!A:J,VLOOKUP(M354,'3-Productie normen'!$B$34:$C$35,2,FALSE),FALSE)))</f>
        <v>0</v>
      </c>
      <c r="P354" s="301" t="str">
        <f>VLOOKUP(H354,'3-Productie normen'!A:L,12,FALSE)</f>
        <v>L</v>
      </c>
      <c r="Q354" s="301"/>
      <c r="S354" s="302">
        <f t="shared" ref="S354:S365" si="15">L354*K354</f>
        <v>9880</v>
      </c>
    </row>
    <row r="355" spans="1:19" ht="14.15" customHeight="1">
      <c r="A355" s="71">
        <v>355</v>
      </c>
      <c r="B355" s="67" t="s">
        <v>213</v>
      </c>
      <c r="C355" s="467" t="s">
        <v>623</v>
      </c>
      <c r="D355" s="467" t="s">
        <v>720</v>
      </c>
      <c r="E355" s="67" t="s">
        <v>713</v>
      </c>
      <c r="F355" s="67" t="s">
        <v>224</v>
      </c>
      <c r="G355" s="67" t="s">
        <v>515</v>
      </c>
      <c r="H355" s="67" t="s">
        <v>609</v>
      </c>
      <c r="I355" s="67" t="s">
        <v>70</v>
      </c>
      <c r="J355" s="67" t="s">
        <v>70</v>
      </c>
      <c r="K355" s="67">
        <v>49.4</v>
      </c>
      <c r="L355" s="299">
        <f t="shared" si="14"/>
        <v>200</v>
      </c>
      <c r="M355" s="221">
        <v>200</v>
      </c>
      <c r="N355" s="220" t="e">
        <f>IF(OR(M355="nio",M355="eigen dienst"),0,IF(M355&gt;0,M355*K355/O355,0))*VLOOKUP(B355,'2-Kosten per locatie'!$A$14:$C$33,3,FALSE)</f>
        <v>#DIV/0!</v>
      </c>
      <c r="O355" s="300">
        <f>IF(OR(M355="nio",M355="eigen dienst"),0,IF(M355&gt;0,VLOOKUP(H355,'3-Productie normen'!A:J,VLOOKUP(M355,'3-Productie normen'!$B$34:$C$35,2,FALSE),FALSE)))</f>
        <v>0</v>
      </c>
      <c r="P355" s="301" t="str">
        <f>VLOOKUP(H355,'3-Productie normen'!A:L,12,FALSE)</f>
        <v>L</v>
      </c>
      <c r="Q355" s="301"/>
      <c r="S355" s="302">
        <f t="shared" si="15"/>
        <v>9880</v>
      </c>
    </row>
    <row r="356" spans="1:19" ht="14.15" customHeight="1">
      <c r="A356" s="71">
        <v>356</v>
      </c>
      <c r="B356" s="67" t="s">
        <v>213</v>
      </c>
      <c r="C356" s="467" t="s">
        <v>623</v>
      </c>
      <c r="D356" s="467" t="s">
        <v>720</v>
      </c>
      <c r="E356" s="67" t="s">
        <v>713</v>
      </c>
      <c r="F356" s="67" t="s">
        <v>225</v>
      </c>
      <c r="G356" s="67" t="s">
        <v>516</v>
      </c>
      <c r="H356" s="67" t="s">
        <v>35</v>
      </c>
      <c r="I356" s="67" t="s">
        <v>70</v>
      </c>
      <c r="J356" s="67" t="s">
        <v>70</v>
      </c>
      <c r="K356" s="67">
        <v>16</v>
      </c>
      <c r="L356" s="299">
        <f t="shared" si="14"/>
        <v>200</v>
      </c>
      <c r="M356" s="221">
        <v>200</v>
      </c>
      <c r="N356" s="220" t="e">
        <f>IF(OR(M356="nio",M356="eigen dienst"),0,IF(M356&gt;0,M356*K356/O356,0))*VLOOKUP(B356,'2-Kosten per locatie'!$A$14:$C$33,3,FALSE)</f>
        <v>#DIV/0!</v>
      </c>
      <c r="O356" s="300">
        <f>IF(OR(M356="nio",M356="eigen dienst"),0,IF(M356&gt;0,VLOOKUP(H356,'3-Productie normen'!A:J,VLOOKUP(M356,'3-Productie normen'!$B$34:$C$35,2,FALSE),FALSE)))</f>
        <v>0</v>
      </c>
      <c r="P356" s="301" t="str">
        <f>VLOOKUP(H356,'3-Productie normen'!A:L,12,FALSE)</f>
        <v>B</v>
      </c>
      <c r="Q356" s="301"/>
      <c r="S356" s="302">
        <f t="shared" si="15"/>
        <v>3200</v>
      </c>
    </row>
    <row r="357" spans="1:19" ht="14.15" customHeight="1">
      <c r="A357" s="71">
        <v>357</v>
      </c>
      <c r="B357" s="67" t="s">
        <v>213</v>
      </c>
      <c r="C357" s="467" t="s">
        <v>623</v>
      </c>
      <c r="D357" s="467" t="s">
        <v>720</v>
      </c>
      <c r="E357" s="67" t="s">
        <v>713</v>
      </c>
      <c r="F357" s="67" t="s">
        <v>226</v>
      </c>
      <c r="G357" s="67" t="s">
        <v>516</v>
      </c>
      <c r="H357" s="67" t="s">
        <v>35</v>
      </c>
      <c r="I357" s="67" t="s">
        <v>70</v>
      </c>
      <c r="J357" s="67" t="s">
        <v>70</v>
      </c>
      <c r="K357" s="67">
        <v>16</v>
      </c>
      <c r="L357" s="299">
        <f t="shared" si="14"/>
        <v>200</v>
      </c>
      <c r="M357" s="221">
        <v>200</v>
      </c>
      <c r="N357" s="220" t="e">
        <f>IF(OR(M357="nio",M357="eigen dienst"),0,IF(M357&gt;0,M357*K357/O357,0))*VLOOKUP(B357,'2-Kosten per locatie'!$A$14:$C$33,3,FALSE)</f>
        <v>#DIV/0!</v>
      </c>
      <c r="O357" s="300">
        <f>IF(OR(M357="nio",M357="eigen dienst"),0,IF(M357&gt;0,VLOOKUP(H357,'3-Productie normen'!A:J,VLOOKUP(M357,'3-Productie normen'!$B$34:$C$35,2,FALSE),FALSE)))</f>
        <v>0</v>
      </c>
      <c r="P357" s="301" t="str">
        <f>VLOOKUP(H357,'3-Productie normen'!A:L,12,FALSE)</f>
        <v>B</v>
      </c>
      <c r="Q357" s="301"/>
      <c r="S357" s="302">
        <f t="shared" si="15"/>
        <v>3200</v>
      </c>
    </row>
    <row r="358" spans="1:19" ht="14.15" customHeight="1">
      <c r="A358" s="71">
        <v>358</v>
      </c>
      <c r="B358" s="67" t="s">
        <v>213</v>
      </c>
      <c r="C358" s="467" t="s">
        <v>623</v>
      </c>
      <c r="D358" s="467" t="s">
        <v>720</v>
      </c>
      <c r="E358" s="67" t="s">
        <v>713</v>
      </c>
      <c r="F358" s="67" t="s">
        <v>227</v>
      </c>
      <c r="G358" s="67" t="s">
        <v>521</v>
      </c>
      <c r="H358" s="67" t="s">
        <v>43</v>
      </c>
      <c r="I358" s="67" t="s">
        <v>70</v>
      </c>
      <c r="J358" s="67" t="s">
        <v>70</v>
      </c>
      <c r="K358" s="67">
        <v>20.5</v>
      </c>
      <c r="L358" s="299">
        <f t="shared" si="14"/>
        <v>200</v>
      </c>
      <c r="M358" s="221">
        <v>200</v>
      </c>
      <c r="N358" s="220" t="e">
        <f>IF(OR(M358="nio",M358="eigen dienst"),0,IF(M358&gt;0,M358*K358/O358,0))*VLOOKUP(B358,'2-Kosten per locatie'!$A$14:$C$33,3,FALSE)</f>
        <v>#DIV/0!</v>
      </c>
      <c r="O358" s="300">
        <f>IF(OR(M358="nio",M358="eigen dienst"),0,IF(M358&gt;0,VLOOKUP(H358,'3-Productie normen'!A:J,VLOOKUP(M358,'3-Productie normen'!$B$34:$C$35,2,FALSE),FALSE)))</f>
        <v>0</v>
      </c>
      <c r="P358" s="301" t="str">
        <f>VLOOKUP(H358,'3-Productie normen'!A:L,12,FALSE)</f>
        <v>B</v>
      </c>
      <c r="Q358" s="301"/>
      <c r="S358" s="302">
        <f t="shared" si="15"/>
        <v>4100</v>
      </c>
    </row>
    <row r="359" spans="1:19" ht="14.15" customHeight="1">
      <c r="A359" s="71">
        <v>359</v>
      </c>
      <c r="B359" s="67" t="s">
        <v>213</v>
      </c>
      <c r="C359" s="467" t="s">
        <v>623</v>
      </c>
      <c r="D359" s="467" t="s">
        <v>720</v>
      </c>
      <c r="E359" s="67" t="s">
        <v>714</v>
      </c>
      <c r="F359" s="67" t="s">
        <v>493</v>
      </c>
      <c r="G359" s="67" t="s">
        <v>574</v>
      </c>
      <c r="H359" s="67" t="s">
        <v>46</v>
      </c>
      <c r="I359" s="67" t="s">
        <v>70</v>
      </c>
      <c r="J359" s="67" t="s">
        <v>70</v>
      </c>
      <c r="K359" s="67">
        <v>48.5</v>
      </c>
      <c r="L359" s="299">
        <f t="shared" si="14"/>
        <v>200</v>
      </c>
      <c r="M359" s="221">
        <v>200</v>
      </c>
      <c r="N359" s="220" t="e">
        <f>IF(OR(M359="nio",M359="eigen dienst"),0,IF(M359&gt;0,M359*K359/O359,0))*VLOOKUP(B359,'2-Kosten per locatie'!$A$14:$C$33,3,FALSE)</f>
        <v>#DIV/0!</v>
      </c>
      <c r="O359" s="300">
        <f>IF(OR(M359="nio",M359="eigen dienst"),0,IF(M359&gt;0,VLOOKUP(H359,'3-Productie normen'!A:J,VLOOKUP(M359,'3-Productie normen'!$B$34:$C$35,2,FALSE),FALSE)))</f>
        <v>0</v>
      </c>
      <c r="P359" s="301" t="str">
        <f>VLOOKUP(H359,'3-Productie normen'!A:L,12,FALSE)</f>
        <v>V</v>
      </c>
      <c r="Q359" s="301"/>
      <c r="S359" s="302">
        <f t="shared" si="15"/>
        <v>9700</v>
      </c>
    </row>
    <row r="360" spans="1:19" ht="14.15" customHeight="1">
      <c r="A360" s="71">
        <v>360</v>
      </c>
      <c r="B360" s="67" t="s">
        <v>213</v>
      </c>
      <c r="C360" s="467" t="s">
        <v>623</v>
      </c>
      <c r="D360" s="467" t="s">
        <v>720</v>
      </c>
      <c r="E360" s="67" t="s">
        <v>714</v>
      </c>
      <c r="F360" s="67" t="s">
        <v>505</v>
      </c>
      <c r="G360" s="67" t="s">
        <v>516</v>
      </c>
      <c r="H360" s="67" t="s">
        <v>35</v>
      </c>
      <c r="I360" s="67" t="s">
        <v>70</v>
      </c>
      <c r="J360" s="67" t="s">
        <v>70</v>
      </c>
      <c r="K360" s="67">
        <v>7.2</v>
      </c>
      <c r="L360" s="299">
        <f t="shared" si="14"/>
        <v>200</v>
      </c>
      <c r="M360" s="221">
        <v>200</v>
      </c>
      <c r="N360" s="220" t="e">
        <f>IF(OR(M360="nio",M360="eigen dienst"),0,IF(M360&gt;0,M360*K360/O360,0))*VLOOKUP(B360,'2-Kosten per locatie'!$A$14:$C$33,3,FALSE)</f>
        <v>#DIV/0!</v>
      </c>
      <c r="O360" s="300">
        <f>IF(OR(M360="nio",M360="eigen dienst"),0,IF(M360&gt;0,VLOOKUP(H360,'3-Productie normen'!A:J,VLOOKUP(M360,'3-Productie normen'!$B$34:$C$35,2,FALSE),FALSE)))</f>
        <v>0</v>
      </c>
      <c r="P360" s="301" t="str">
        <f>VLOOKUP(H360,'3-Productie normen'!A:L,12,FALSE)</f>
        <v>B</v>
      </c>
      <c r="Q360" s="301"/>
      <c r="S360" s="302">
        <f t="shared" si="15"/>
        <v>1440</v>
      </c>
    </row>
    <row r="361" spans="1:19" ht="14.15" customHeight="1">
      <c r="A361" s="71">
        <v>361</v>
      </c>
      <c r="B361" s="67" t="s">
        <v>213</v>
      </c>
      <c r="C361" s="467" t="s">
        <v>623</v>
      </c>
      <c r="D361" s="467" t="s">
        <v>720</v>
      </c>
      <c r="E361" s="67" t="s">
        <v>714</v>
      </c>
      <c r="F361" s="67" t="s">
        <v>301</v>
      </c>
      <c r="G361" s="67" t="s">
        <v>516</v>
      </c>
      <c r="H361" s="67" t="s">
        <v>35</v>
      </c>
      <c r="I361" s="67" t="s">
        <v>70</v>
      </c>
      <c r="J361" s="67" t="s">
        <v>70</v>
      </c>
      <c r="K361" s="67">
        <v>7.2</v>
      </c>
      <c r="L361" s="299">
        <f t="shared" si="14"/>
        <v>200</v>
      </c>
      <c r="M361" s="221">
        <v>200</v>
      </c>
      <c r="N361" s="220" t="e">
        <f>IF(OR(M361="nio",M361="eigen dienst"),0,IF(M361&gt;0,M361*K361/O361,0))*VLOOKUP(B361,'2-Kosten per locatie'!$A$14:$C$33,3,FALSE)</f>
        <v>#DIV/0!</v>
      </c>
      <c r="O361" s="300">
        <f>IF(OR(M361="nio",M361="eigen dienst"),0,IF(M361&gt;0,VLOOKUP(H361,'3-Productie normen'!A:J,VLOOKUP(M361,'3-Productie normen'!$B$34:$C$35,2,FALSE),FALSE)))</f>
        <v>0</v>
      </c>
      <c r="P361" s="301" t="str">
        <f>VLOOKUP(H361,'3-Productie normen'!A:L,12,FALSE)</f>
        <v>B</v>
      </c>
      <c r="Q361" s="301"/>
      <c r="S361" s="302">
        <f t="shared" si="15"/>
        <v>1440</v>
      </c>
    </row>
    <row r="362" spans="1:19" ht="14.15" customHeight="1">
      <c r="A362" s="71">
        <v>362</v>
      </c>
      <c r="B362" s="67" t="s">
        <v>213</v>
      </c>
      <c r="C362" s="467" t="s">
        <v>623</v>
      </c>
      <c r="D362" s="467" t="s">
        <v>720</v>
      </c>
      <c r="E362" s="67" t="s">
        <v>713</v>
      </c>
      <c r="F362" s="67" t="s">
        <v>335</v>
      </c>
      <c r="G362" s="67" t="s">
        <v>47</v>
      </c>
      <c r="H362" s="67" t="s">
        <v>47</v>
      </c>
      <c r="I362" s="67" t="s">
        <v>608</v>
      </c>
      <c r="J362" s="67" t="s">
        <v>70</v>
      </c>
      <c r="K362" s="67">
        <v>9.6999999999999993</v>
      </c>
      <c r="L362" s="299">
        <f t="shared" si="14"/>
        <v>200</v>
      </c>
      <c r="M362" s="221">
        <v>200</v>
      </c>
      <c r="N362" s="220" t="e">
        <f>IF(OR(M362="nio",M362="eigen dienst"),0,IF(M362&gt;0,M362*K362/O362,0))*VLOOKUP(B362,'2-Kosten per locatie'!$A$14:$C$33,3,FALSE)</f>
        <v>#DIV/0!</v>
      </c>
      <c r="O362" s="300">
        <f>IF(OR(M362="nio",M362="eigen dienst"),0,IF(M362&gt;0,VLOOKUP(H362,'3-Productie normen'!A:J,VLOOKUP(M362,'3-Productie normen'!$B$34:$C$35,2,FALSE),FALSE)))</f>
        <v>0</v>
      </c>
      <c r="P362" s="301" t="str">
        <f>VLOOKUP(H362,'3-Productie normen'!A:L,12,FALSE)</f>
        <v>V</v>
      </c>
      <c r="Q362" s="301"/>
      <c r="S362" s="302">
        <f t="shared" si="15"/>
        <v>1939.9999999999998</v>
      </c>
    </row>
    <row r="363" spans="1:19" ht="14.15" customHeight="1">
      <c r="A363" s="71">
        <v>363</v>
      </c>
      <c r="B363" s="67" t="s">
        <v>213</v>
      </c>
      <c r="C363" s="467" t="s">
        <v>623</v>
      </c>
      <c r="D363" s="467" t="s">
        <v>720</v>
      </c>
      <c r="E363" s="67" t="s">
        <v>713</v>
      </c>
      <c r="F363" s="67" t="s">
        <v>336</v>
      </c>
      <c r="G363" s="67" t="s">
        <v>515</v>
      </c>
      <c r="H363" s="67" t="s">
        <v>609</v>
      </c>
      <c r="I363" s="67" t="s">
        <v>180</v>
      </c>
      <c r="J363" s="67" t="s">
        <v>201</v>
      </c>
      <c r="K363" s="67">
        <v>52.5</v>
      </c>
      <c r="L363" s="299">
        <f t="shared" si="14"/>
        <v>200</v>
      </c>
      <c r="M363" s="221">
        <v>200</v>
      </c>
      <c r="N363" s="220" t="e">
        <f>IF(OR(M363="nio",M363="eigen dienst"),0,IF(M363&gt;0,M363*K363/O363,0))*VLOOKUP(B363,'2-Kosten per locatie'!$A$14:$C$33,3,FALSE)</f>
        <v>#DIV/0!</v>
      </c>
      <c r="O363" s="300">
        <f>IF(OR(M363="nio",M363="eigen dienst"),0,IF(M363&gt;0,VLOOKUP(H363,'3-Productie normen'!A:J,VLOOKUP(M363,'3-Productie normen'!$B$34:$C$35,2,FALSE),FALSE)))</f>
        <v>0</v>
      </c>
      <c r="P363" s="301" t="str">
        <f>VLOOKUP(H363,'3-Productie normen'!A:L,12,FALSE)</f>
        <v>L</v>
      </c>
      <c r="Q363" s="301"/>
      <c r="S363" s="302">
        <f t="shared" si="15"/>
        <v>10500</v>
      </c>
    </row>
    <row r="364" spans="1:19" ht="14.15" customHeight="1">
      <c r="A364" s="71">
        <v>364</v>
      </c>
      <c r="B364" s="67" t="s">
        <v>213</v>
      </c>
      <c r="C364" s="467" t="s">
        <v>623</v>
      </c>
      <c r="D364" s="467" t="s">
        <v>720</v>
      </c>
      <c r="E364" s="67" t="s">
        <v>713</v>
      </c>
      <c r="F364" s="67" t="s">
        <v>337</v>
      </c>
      <c r="G364" s="67" t="s">
        <v>514</v>
      </c>
      <c r="H364" s="67" t="s">
        <v>37</v>
      </c>
      <c r="I364" s="67" t="s">
        <v>70</v>
      </c>
      <c r="J364" s="67" t="s">
        <v>70</v>
      </c>
      <c r="K364" s="67">
        <v>4.5</v>
      </c>
      <c r="L364" s="299">
        <f t="shared" si="14"/>
        <v>200</v>
      </c>
      <c r="M364" s="221">
        <v>200</v>
      </c>
      <c r="N364" s="220" t="e">
        <f>IF(OR(M364="nio",M364="eigen dienst"),0,IF(M364&gt;0,M364*K364/O364,0))*VLOOKUP(B364,'2-Kosten per locatie'!$A$14:$C$33,3,FALSE)</f>
        <v>#DIV/0!</v>
      </c>
      <c r="O364" s="300">
        <f>IF(OR(M364="nio",M364="eigen dienst"),0,IF(M364&gt;0,VLOOKUP(H364,'3-Productie normen'!A:J,VLOOKUP(M364,'3-Productie normen'!$B$34:$C$35,2,FALSE),FALSE)))</f>
        <v>0</v>
      </c>
      <c r="P364" s="301" t="str">
        <f>VLOOKUP(H364,'3-Productie normen'!A:L,12,FALSE)</f>
        <v>S</v>
      </c>
      <c r="Q364" s="301"/>
      <c r="S364" s="302">
        <f t="shared" si="15"/>
        <v>900</v>
      </c>
    </row>
    <row r="365" spans="1:19" ht="14.15" customHeight="1">
      <c r="A365" s="71">
        <v>365</v>
      </c>
      <c r="B365" s="67" t="s">
        <v>213</v>
      </c>
      <c r="C365" s="467" t="s">
        <v>623</v>
      </c>
      <c r="D365" s="467" t="s">
        <v>720</v>
      </c>
      <c r="E365" s="67" t="s">
        <v>713</v>
      </c>
      <c r="F365" s="67" t="s">
        <v>338</v>
      </c>
      <c r="G365" s="67" t="s">
        <v>518</v>
      </c>
      <c r="H365" s="67" t="s">
        <v>630</v>
      </c>
      <c r="I365" s="67" t="s">
        <v>608</v>
      </c>
      <c r="J365" s="67" t="s">
        <v>70</v>
      </c>
      <c r="K365" s="67">
        <v>4.5</v>
      </c>
      <c r="L365" s="299">
        <f t="shared" si="14"/>
        <v>0</v>
      </c>
      <c r="M365" s="221" t="s">
        <v>629</v>
      </c>
      <c r="N365" s="220">
        <f>IF(OR(M365="nio",M365="eigen dienst"),0,IF(M365&gt;0,M365*K365/O365,0))*VLOOKUP(B365,'2-Kosten per locatie'!$A$14:$C$33,3,FALSE)</f>
        <v>0</v>
      </c>
      <c r="O365" s="300">
        <f>IF(OR(M365="nio",M365="eigen dienst"),0,IF(M365&gt;0,VLOOKUP(H365,'3-Productie normen'!A:J,VLOOKUP(M365,'3-Productie normen'!$B$34:$C$35,2,FALSE),FALSE)))</f>
        <v>0</v>
      </c>
      <c r="P365" s="301">
        <f>VLOOKUP(H365,'3-Productie normen'!A:L,12,FALSE)</f>
        <v>0</v>
      </c>
      <c r="Q365" s="301"/>
      <c r="S365" s="302">
        <f t="shared" si="15"/>
        <v>0</v>
      </c>
    </row>
    <row r="366" spans="1:19" ht="14.15" customHeight="1">
      <c r="A366" s="71">
        <v>366</v>
      </c>
      <c r="B366" s="67" t="s">
        <v>214</v>
      </c>
      <c r="C366" s="467" t="s">
        <v>624</v>
      </c>
      <c r="D366" s="467" t="s">
        <v>720</v>
      </c>
      <c r="E366" s="67" t="s">
        <v>713</v>
      </c>
      <c r="F366" s="67" t="s">
        <v>220</v>
      </c>
      <c r="G366" s="67" t="s">
        <v>47</v>
      </c>
      <c r="H366" s="67" t="s">
        <v>47</v>
      </c>
      <c r="I366" s="67" t="s">
        <v>597</v>
      </c>
      <c r="J366" s="67" t="s">
        <v>201</v>
      </c>
      <c r="K366" s="67">
        <v>7.2</v>
      </c>
      <c r="L366" s="299">
        <f t="shared" ref="L366:L397" si="16">SUM(M366:M366)</f>
        <v>0</v>
      </c>
      <c r="M366" s="221" t="s">
        <v>631</v>
      </c>
      <c r="N366" s="220">
        <f>IF(OR(M366="nio",M366="eigen dienst"),0,IF(M366&gt;0,M366*K366/O366,0))*VLOOKUP(B366,'2-Kosten per locatie'!$A$14:$C$33,3,FALSE)</f>
        <v>0</v>
      </c>
      <c r="O366" s="300">
        <f>IF(OR(M366="nio",M366="eigen dienst"),0,IF(M366&gt;0,VLOOKUP(H366,'3-Productie normen'!A:J,VLOOKUP(M366,'3-Productie normen'!$B$34:$C$35,2,FALSE),FALSE)))</f>
        <v>0</v>
      </c>
      <c r="P366" s="301" t="str">
        <f>VLOOKUP(H366,'3-Productie normen'!A:L,12,FALSE)</f>
        <v>V</v>
      </c>
      <c r="Q366" s="301"/>
      <c r="S366" s="302">
        <f t="shared" ref="S366:S397" si="17">L366*K366</f>
        <v>0</v>
      </c>
    </row>
    <row r="367" spans="1:19" ht="14.15" customHeight="1">
      <c r="A367" s="71">
        <v>367</v>
      </c>
      <c r="B367" s="67" t="s">
        <v>214</v>
      </c>
      <c r="C367" s="467" t="s">
        <v>624</v>
      </c>
      <c r="D367" s="467" t="s">
        <v>720</v>
      </c>
      <c r="E367" s="67" t="s">
        <v>713</v>
      </c>
      <c r="F367" s="67" t="s">
        <v>228</v>
      </c>
      <c r="G367" s="67" t="s">
        <v>522</v>
      </c>
      <c r="H367" s="67" t="s">
        <v>44</v>
      </c>
      <c r="I367" s="67" t="s">
        <v>70</v>
      </c>
      <c r="J367" s="67" t="s">
        <v>70</v>
      </c>
      <c r="K367" s="67">
        <v>3.3</v>
      </c>
      <c r="L367" s="299">
        <f t="shared" si="16"/>
        <v>0</v>
      </c>
      <c r="M367" s="221" t="s">
        <v>631</v>
      </c>
      <c r="N367" s="220">
        <f>IF(OR(M367="nio",M367="eigen dienst"),0,IF(M367&gt;0,M367*K367/O367,0))*VLOOKUP(B367,'2-Kosten per locatie'!$A$14:$C$33,3,FALSE)</f>
        <v>0</v>
      </c>
      <c r="O367" s="300">
        <f>IF(OR(M367="nio",M367="eigen dienst"),0,IF(M367&gt;0,VLOOKUP(H367,'3-Productie normen'!A:J,VLOOKUP(M367,'3-Productie normen'!$B$34:$C$35,2,FALSE),FALSE)))</f>
        <v>0</v>
      </c>
      <c r="P367" s="301" t="str">
        <f>VLOOKUP(H367,'3-Productie normen'!A:L,12,FALSE)</f>
        <v>V</v>
      </c>
      <c r="Q367" s="301"/>
      <c r="S367" s="302">
        <f t="shared" si="17"/>
        <v>0</v>
      </c>
    </row>
    <row r="368" spans="1:19" ht="14.15" customHeight="1">
      <c r="A368" s="71">
        <v>368</v>
      </c>
      <c r="B368" s="67" t="s">
        <v>214</v>
      </c>
      <c r="C368" s="467" t="s">
        <v>624</v>
      </c>
      <c r="D368" s="467" t="s">
        <v>720</v>
      </c>
      <c r="E368" s="67" t="s">
        <v>713</v>
      </c>
      <c r="F368" s="67" t="s">
        <v>229</v>
      </c>
      <c r="G368" s="67" t="s">
        <v>514</v>
      </c>
      <c r="H368" s="67" t="s">
        <v>37</v>
      </c>
      <c r="I368" s="67" t="s">
        <v>601</v>
      </c>
      <c r="J368" s="67" t="s">
        <v>179</v>
      </c>
      <c r="K368" s="67">
        <v>4.3</v>
      </c>
      <c r="L368" s="299">
        <f t="shared" si="16"/>
        <v>0</v>
      </c>
      <c r="M368" s="221" t="s">
        <v>631</v>
      </c>
      <c r="N368" s="220">
        <f>IF(OR(M368="nio",M368="eigen dienst"),0,IF(M368&gt;0,M368*K368/O368,0))*VLOOKUP(B368,'2-Kosten per locatie'!$A$14:$C$33,3,FALSE)</f>
        <v>0</v>
      </c>
      <c r="O368" s="300">
        <f>IF(OR(M368="nio",M368="eigen dienst"),0,IF(M368&gt;0,VLOOKUP(H368,'3-Productie normen'!A:J,VLOOKUP(M368,'3-Productie normen'!$B$34:$C$35,2,FALSE),FALSE)))</f>
        <v>0</v>
      </c>
      <c r="P368" s="301" t="str">
        <f>VLOOKUP(H368,'3-Productie normen'!A:L,12,FALSE)</f>
        <v>S</v>
      </c>
      <c r="Q368" s="301"/>
      <c r="S368" s="302">
        <f t="shared" si="17"/>
        <v>0</v>
      </c>
    </row>
    <row r="369" spans="1:19" ht="14.15" customHeight="1">
      <c r="A369" s="71">
        <v>369</v>
      </c>
      <c r="B369" s="67" t="s">
        <v>214</v>
      </c>
      <c r="C369" s="467" t="s">
        <v>624</v>
      </c>
      <c r="D369" s="467" t="s">
        <v>720</v>
      </c>
      <c r="E369" s="67" t="s">
        <v>713</v>
      </c>
      <c r="F369" s="67" t="s">
        <v>230</v>
      </c>
      <c r="G369" s="67" t="s">
        <v>521</v>
      </c>
      <c r="H369" s="67" t="s">
        <v>43</v>
      </c>
      <c r="I369" s="67" t="s">
        <v>70</v>
      </c>
      <c r="J369" s="67" t="s">
        <v>70</v>
      </c>
      <c r="K369" s="67">
        <v>22.4</v>
      </c>
      <c r="L369" s="299">
        <f t="shared" si="16"/>
        <v>0</v>
      </c>
      <c r="M369" s="221" t="s">
        <v>631</v>
      </c>
      <c r="N369" s="220">
        <f>IF(OR(M369="nio",M369="eigen dienst"),0,IF(M369&gt;0,M369*K369/O369,0))*VLOOKUP(B369,'2-Kosten per locatie'!$A$14:$C$33,3,FALSE)</f>
        <v>0</v>
      </c>
      <c r="O369" s="300">
        <f>IF(OR(M369="nio",M369="eigen dienst"),0,IF(M369&gt;0,VLOOKUP(H369,'3-Productie normen'!A:J,VLOOKUP(M369,'3-Productie normen'!$B$34:$C$35,2,FALSE),FALSE)))</f>
        <v>0</v>
      </c>
      <c r="P369" s="301" t="str">
        <f>VLOOKUP(H369,'3-Productie normen'!A:L,12,FALSE)</f>
        <v>B</v>
      </c>
      <c r="Q369" s="301"/>
      <c r="S369" s="302">
        <f t="shared" si="17"/>
        <v>0</v>
      </c>
    </row>
    <row r="370" spans="1:19" ht="14.15" customHeight="1">
      <c r="A370" s="71">
        <v>370</v>
      </c>
      <c r="B370" s="67" t="s">
        <v>214</v>
      </c>
      <c r="C370" s="467" t="s">
        <v>624</v>
      </c>
      <c r="D370" s="467" t="s">
        <v>720</v>
      </c>
      <c r="E370" s="67" t="s">
        <v>713</v>
      </c>
      <c r="F370" s="67" t="s">
        <v>231</v>
      </c>
      <c r="G370" s="67" t="s">
        <v>518</v>
      </c>
      <c r="H370" s="67" t="s">
        <v>44</v>
      </c>
      <c r="I370" s="67" t="s">
        <v>70</v>
      </c>
      <c r="J370" s="67" t="s">
        <v>70</v>
      </c>
      <c r="K370" s="67">
        <v>10.4</v>
      </c>
      <c r="L370" s="299">
        <f t="shared" si="16"/>
        <v>0</v>
      </c>
      <c r="M370" s="221" t="s">
        <v>631</v>
      </c>
      <c r="N370" s="220">
        <f>IF(OR(M370="nio",M370="eigen dienst"),0,IF(M370&gt;0,M370*K370/O370,0))*VLOOKUP(B370,'2-Kosten per locatie'!$A$14:$C$33,3,FALSE)</f>
        <v>0</v>
      </c>
      <c r="O370" s="300">
        <f>IF(OR(M370="nio",M370="eigen dienst"),0,IF(M370&gt;0,VLOOKUP(H370,'3-Productie normen'!A:J,VLOOKUP(M370,'3-Productie normen'!$B$34:$C$35,2,FALSE),FALSE)))</f>
        <v>0</v>
      </c>
      <c r="P370" s="301" t="str">
        <f>VLOOKUP(H370,'3-Productie normen'!A:L,12,FALSE)</f>
        <v>V</v>
      </c>
      <c r="Q370" s="301"/>
      <c r="S370" s="302">
        <f t="shared" si="17"/>
        <v>0</v>
      </c>
    </row>
    <row r="371" spans="1:19" ht="14.15" customHeight="1">
      <c r="A371" s="71">
        <v>371</v>
      </c>
      <c r="B371" s="67" t="s">
        <v>214</v>
      </c>
      <c r="C371" s="467" t="s">
        <v>624</v>
      </c>
      <c r="D371" s="467" t="s">
        <v>720</v>
      </c>
      <c r="E371" s="67" t="s">
        <v>713</v>
      </c>
      <c r="F371" s="67" t="s">
        <v>232</v>
      </c>
      <c r="G371" s="67" t="s">
        <v>514</v>
      </c>
      <c r="H371" s="67" t="s">
        <v>37</v>
      </c>
      <c r="I371" s="67" t="s">
        <v>601</v>
      </c>
      <c r="J371" s="67" t="s">
        <v>179</v>
      </c>
      <c r="K371" s="67">
        <v>1.7</v>
      </c>
      <c r="L371" s="299">
        <f t="shared" si="16"/>
        <v>0</v>
      </c>
      <c r="M371" s="221" t="s">
        <v>631</v>
      </c>
      <c r="N371" s="220">
        <f>IF(OR(M371="nio",M371="eigen dienst"),0,IF(M371&gt;0,M371*K371/O371,0))*VLOOKUP(B371,'2-Kosten per locatie'!$A$14:$C$33,3,FALSE)</f>
        <v>0</v>
      </c>
      <c r="O371" s="300">
        <f>IF(OR(M371="nio",M371="eigen dienst"),0,IF(M371&gt;0,VLOOKUP(H371,'3-Productie normen'!A:J,VLOOKUP(M371,'3-Productie normen'!$B$34:$C$35,2,FALSE),FALSE)))</f>
        <v>0</v>
      </c>
      <c r="P371" s="301" t="str">
        <f>VLOOKUP(H371,'3-Productie normen'!A:L,12,FALSE)</f>
        <v>S</v>
      </c>
      <c r="Q371" s="301"/>
      <c r="S371" s="302">
        <f t="shared" si="17"/>
        <v>0</v>
      </c>
    </row>
    <row r="372" spans="1:19" ht="14.15" customHeight="1">
      <c r="A372" s="71">
        <v>372</v>
      </c>
      <c r="B372" s="67" t="s">
        <v>214</v>
      </c>
      <c r="C372" s="467" t="s">
        <v>624</v>
      </c>
      <c r="D372" s="467" t="s">
        <v>720</v>
      </c>
      <c r="E372" s="67" t="s">
        <v>713</v>
      </c>
      <c r="F372" s="67" t="s">
        <v>233</v>
      </c>
      <c r="G372" s="67" t="s">
        <v>536</v>
      </c>
      <c r="H372" s="67" t="s">
        <v>39</v>
      </c>
      <c r="I372" s="67" t="s">
        <v>70</v>
      </c>
      <c r="J372" s="67" t="s">
        <v>70</v>
      </c>
      <c r="K372" s="67">
        <v>4.4000000000000004</v>
      </c>
      <c r="L372" s="299">
        <f t="shared" si="16"/>
        <v>0</v>
      </c>
      <c r="M372" s="221" t="s">
        <v>631</v>
      </c>
      <c r="N372" s="220">
        <f>IF(OR(M372="nio",M372="eigen dienst"),0,IF(M372&gt;0,M372*K372/O372,0))*VLOOKUP(B372,'2-Kosten per locatie'!$A$14:$C$33,3,FALSE)</f>
        <v>0</v>
      </c>
      <c r="O372" s="300">
        <f>IF(OR(M372="nio",M372="eigen dienst"),0,IF(M372&gt;0,VLOOKUP(H372,'3-Productie normen'!A:J,VLOOKUP(M372,'3-Productie normen'!$B$34:$C$35,2,FALSE),FALSE)))</f>
        <v>0</v>
      </c>
      <c r="P372" s="301" t="str">
        <f>VLOOKUP(H372,'3-Productie normen'!A:L,12,FALSE)</f>
        <v>V</v>
      </c>
      <c r="Q372" s="301"/>
      <c r="S372" s="302">
        <f t="shared" si="17"/>
        <v>0</v>
      </c>
    </row>
    <row r="373" spans="1:19" ht="14.15" customHeight="1">
      <c r="A373" s="71">
        <v>373</v>
      </c>
      <c r="B373" s="67" t="s">
        <v>214</v>
      </c>
      <c r="C373" s="467" t="s">
        <v>624</v>
      </c>
      <c r="D373" s="467" t="s">
        <v>720</v>
      </c>
      <c r="E373" s="67" t="s">
        <v>713</v>
      </c>
      <c r="F373" s="67" t="s">
        <v>234</v>
      </c>
      <c r="G373" s="67" t="s">
        <v>513</v>
      </c>
      <c r="H373" s="67" t="s">
        <v>45</v>
      </c>
      <c r="I373" s="67" t="s">
        <v>599</v>
      </c>
      <c r="J373" s="67" t="s">
        <v>200</v>
      </c>
      <c r="K373" s="67">
        <v>84.3</v>
      </c>
      <c r="L373" s="299">
        <f t="shared" si="16"/>
        <v>0</v>
      </c>
      <c r="M373" s="221" t="s">
        <v>631</v>
      </c>
      <c r="N373" s="220">
        <f>IF(OR(M373="nio",M373="eigen dienst"),0,IF(M373&gt;0,M373*K373/O373,0))*VLOOKUP(B373,'2-Kosten per locatie'!$A$14:$C$33,3,FALSE)</f>
        <v>0</v>
      </c>
      <c r="O373" s="300">
        <f>IF(OR(M373="nio",M373="eigen dienst"),0,IF(M373&gt;0,VLOOKUP(H373,'3-Productie normen'!A:J,VLOOKUP(M373,'3-Productie normen'!$B$34:$C$35,2,FALSE),FALSE)))</f>
        <v>0</v>
      </c>
      <c r="P373" s="301" t="str">
        <f>VLOOKUP(H373,'3-Productie normen'!A:L,12,FALSE)</f>
        <v>L</v>
      </c>
      <c r="Q373" s="301"/>
      <c r="S373" s="302">
        <f t="shared" si="17"/>
        <v>0</v>
      </c>
    </row>
    <row r="374" spans="1:19" ht="14.15" customHeight="1">
      <c r="A374" s="71">
        <v>374</v>
      </c>
      <c r="B374" s="67" t="s">
        <v>214</v>
      </c>
      <c r="C374" s="467" t="s">
        <v>624</v>
      </c>
      <c r="D374" s="467" t="s">
        <v>720</v>
      </c>
      <c r="E374" s="67" t="s">
        <v>713</v>
      </c>
      <c r="F374" s="67" t="s">
        <v>235</v>
      </c>
      <c r="G374" s="67" t="s">
        <v>588</v>
      </c>
      <c r="H374" s="67" t="s">
        <v>44</v>
      </c>
      <c r="I374" s="67" t="s">
        <v>599</v>
      </c>
      <c r="J374" s="67" t="s">
        <v>200</v>
      </c>
      <c r="K374" s="67">
        <v>5.4</v>
      </c>
      <c r="L374" s="299">
        <f t="shared" si="16"/>
        <v>0</v>
      </c>
      <c r="M374" s="221" t="s">
        <v>631</v>
      </c>
      <c r="N374" s="220">
        <f>IF(OR(M374="nio",M374="eigen dienst"),0,IF(M374&gt;0,M374*K374/O374,0))*VLOOKUP(B374,'2-Kosten per locatie'!$A$14:$C$33,3,FALSE)</f>
        <v>0</v>
      </c>
      <c r="O374" s="300">
        <f>IF(OR(M374="nio",M374="eigen dienst"),0,IF(M374&gt;0,VLOOKUP(H374,'3-Productie normen'!A:J,VLOOKUP(M374,'3-Productie normen'!$B$34:$C$35,2,FALSE),FALSE)))</f>
        <v>0</v>
      </c>
      <c r="P374" s="301" t="str">
        <f>VLOOKUP(H374,'3-Productie normen'!A:L,12,FALSE)</f>
        <v>V</v>
      </c>
      <c r="Q374" s="301"/>
      <c r="S374" s="302">
        <f t="shared" si="17"/>
        <v>0</v>
      </c>
    </row>
    <row r="375" spans="1:19" ht="14.15" customHeight="1">
      <c r="A375" s="71">
        <v>375</v>
      </c>
      <c r="B375" s="67" t="s">
        <v>214</v>
      </c>
      <c r="C375" s="467" t="s">
        <v>624</v>
      </c>
      <c r="D375" s="467" t="s">
        <v>720</v>
      </c>
      <c r="E375" s="67" t="s">
        <v>713</v>
      </c>
      <c r="F375" s="67" t="s">
        <v>236</v>
      </c>
      <c r="G375" s="67" t="s">
        <v>523</v>
      </c>
      <c r="H375" s="67" t="s">
        <v>630</v>
      </c>
      <c r="I375" s="67" t="s">
        <v>70</v>
      </c>
      <c r="J375" s="67" t="s">
        <v>70</v>
      </c>
      <c r="K375" s="67">
        <v>7.8</v>
      </c>
      <c r="L375" s="299">
        <f t="shared" si="16"/>
        <v>0</v>
      </c>
      <c r="M375" s="221" t="s">
        <v>629</v>
      </c>
      <c r="N375" s="220">
        <f>IF(OR(M375="nio",M375="eigen dienst"),0,IF(M375&gt;0,M375*K375/O375,0))*VLOOKUP(B375,'2-Kosten per locatie'!$A$14:$C$33,3,FALSE)</f>
        <v>0</v>
      </c>
      <c r="O375" s="300">
        <f>IF(OR(M375="nio",M375="eigen dienst"),0,IF(M375&gt;0,VLOOKUP(H375,'3-Productie normen'!A:J,VLOOKUP(M375,'3-Productie normen'!$B$34:$C$35,2,FALSE),FALSE)))</f>
        <v>0</v>
      </c>
      <c r="P375" s="301">
        <f>VLOOKUP(H375,'3-Productie normen'!A:L,12,FALSE)</f>
        <v>0</v>
      </c>
      <c r="Q375" s="301"/>
      <c r="S375" s="302">
        <f t="shared" si="17"/>
        <v>0</v>
      </c>
    </row>
    <row r="376" spans="1:19" ht="14.15" customHeight="1">
      <c r="A376" s="71">
        <v>376</v>
      </c>
      <c r="B376" s="67" t="s">
        <v>214</v>
      </c>
      <c r="C376" s="467" t="s">
        <v>624</v>
      </c>
      <c r="D376" s="467" t="s">
        <v>720</v>
      </c>
      <c r="E376" s="67" t="s">
        <v>713</v>
      </c>
      <c r="F376" s="67" t="s">
        <v>237</v>
      </c>
      <c r="G376" s="67" t="s">
        <v>576</v>
      </c>
      <c r="H376" s="67" t="s">
        <v>43</v>
      </c>
      <c r="I376" s="67" t="s">
        <v>180</v>
      </c>
      <c r="J376" s="67" t="s">
        <v>201</v>
      </c>
      <c r="K376" s="67">
        <v>7.5</v>
      </c>
      <c r="L376" s="299">
        <f t="shared" si="16"/>
        <v>0</v>
      </c>
      <c r="M376" s="221" t="s">
        <v>631</v>
      </c>
      <c r="N376" s="220">
        <f>IF(OR(M376="nio",M376="eigen dienst"),0,IF(M376&gt;0,M376*K376/O376,0))*VLOOKUP(B376,'2-Kosten per locatie'!$A$14:$C$33,3,FALSE)</f>
        <v>0</v>
      </c>
      <c r="O376" s="300">
        <f>IF(OR(M376="nio",M376="eigen dienst"),0,IF(M376&gt;0,VLOOKUP(H376,'3-Productie normen'!A:J,VLOOKUP(M376,'3-Productie normen'!$B$34:$C$35,2,FALSE),FALSE)))</f>
        <v>0</v>
      </c>
      <c r="P376" s="301" t="str">
        <f>VLOOKUP(H376,'3-Productie normen'!A:L,12,FALSE)</f>
        <v>B</v>
      </c>
      <c r="Q376" s="301"/>
      <c r="S376" s="302">
        <f t="shared" si="17"/>
        <v>0</v>
      </c>
    </row>
    <row r="377" spans="1:19" ht="14.15" customHeight="1">
      <c r="A377" s="71">
        <v>377</v>
      </c>
      <c r="B377" s="67" t="s">
        <v>214</v>
      </c>
      <c r="C377" s="467" t="s">
        <v>624</v>
      </c>
      <c r="D377" s="467" t="s">
        <v>720</v>
      </c>
      <c r="E377" s="67" t="s">
        <v>713</v>
      </c>
      <c r="F377" s="67" t="s">
        <v>221</v>
      </c>
      <c r="G377" s="67" t="s">
        <v>521</v>
      </c>
      <c r="H377" s="67" t="s">
        <v>43</v>
      </c>
      <c r="I377" s="67" t="s">
        <v>70</v>
      </c>
      <c r="J377" s="67" t="s">
        <v>70</v>
      </c>
      <c r="K377" s="67">
        <v>17.7</v>
      </c>
      <c r="L377" s="299">
        <f t="shared" si="16"/>
        <v>0</v>
      </c>
      <c r="M377" s="221" t="s">
        <v>631</v>
      </c>
      <c r="N377" s="220">
        <f>IF(OR(M377="nio",M377="eigen dienst"),0,IF(M377&gt;0,M377*K377/O377,0))*VLOOKUP(B377,'2-Kosten per locatie'!$A$14:$C$33,3,FALSE)</f>
        <v>0</v>
      </c>
      <c r="O377" s="300">
        <f>IF(OR(M377="nio",M377="eigen dienst"),0,IF(M377&gt;0,VLOOKUP(H377,'3-Productie normen'!A:J,VLOOKUP(M377,'3-Productie normen'!$B$34:$C$35,2,FALSE),FALSE)))</f>
        <v>0</v>
      </c>
      <c r="P377" s="301" t="str">
        <f>VLOOKUP(H377,'3-Productie normen'!A:L,12,FALSE)</f>
        <v>B</v>
      </c>
      <c r="Q377" s="301"/>
      <c r="S377" s="302">
        <f t="shared" si="17"/>
        <v>0</v>
      </c>
    </row>
    <row r="378" spans="1:19" ht="14.15" customHeight="1">
      <c r="A378" s="71">
        <v>378</v>
      </c>
      <c r="B378" s="67" t="s">
        <v>214</v>
      </c>
      <c r="C378" s="467" t="s">
        <v>624</v>
      </c>
      <c r="D378" s="467" t="s">
        <v>720</v>
      </c>
      <c r="E378" s="67" t="s">
        <v>713</v>
      </c>
      <c r="F378" s="67" t="s">
        <v>238</v>
      </c>
      <c r="G378" s="67" t="s">
        <v>514</v>
      </c>
      <c r="H378" s="67" t="s">
        <v>37</v>
      </c>
      <c r="I378" s="67" t="s">
        <v>601</v>
      </c>
      <c r="J378" s="67" t="s">
        <v>179</v>
      </c>
      <c r="K378" s="67">
        <v>5.9</v>
      </c>
      <c r="L378" s="299">
        <f t="shared" si="16"/>
        <v>0</v>
      </c>
      <c r="M378" s="221" t="s">
        <v>631</v>
      </c>
      <c r="N378" s="220">
        <f>IF(OR(M378="nio",M378="eigen dienst"),0,IF(M378&gt;0,M378*K378/O378,0))*VLOOKUP(B378,'2-Kosten per locatie'!$A$14:$C$33,3,FALSE)</f>
        <v>0</v>
      </c>
      <c r="O378" s="300">
        <f>IF(OR(M378="nio",M378="eigen dienst"),0,IF(M378&gt;0,VLOOKUP(H378,'3-Productie normen'!A:J,VLOOKUP(M378,'3-Productie normen'!$B$34:$C$35,2,FALSE),FALSE)))</f>
        <v>0</v>
      </c>
      <c r="P378" s="301" t="str">
        <f>VLOOKUP(H378,'3-Productie normen'!A:L,12,FALSE)</f>
        <v>S</v>
      </c>
      <c r="Q378" s="301"/>
      <c r="S378" s="302">
        <f t="shared" si="17"/>
        <v>0</v>
      </c>
    </row>
    <row r="379" spans="1:19" ht="14.15" customHeight="1">
      <c r="A379" s="71">
        <v>379</v>
      </c>
      <c r="B379" s="67" t="s">
        <v>214</v>
      </c>
      <c r="C379" s="467" t="s">
        <v>624</v>
      </c>
      <c r="D379" s="467" t="s">
        <v>720</v>
      </c>
      <c r="E379" s="67" t="s">
        <v>713</v>
      </c>
      <c r="F379" s="67" t="s">
        <v>239</v>
      </c>
      <c r="G379" s="67" t="s">
        <v>518</v>
      </c>
      <c r="H379" s="67" t="s">
        <v>44</v>
      </c>
      <c r="I379" s="67" t="s">
        <v>70</v>
      </c>
      <c r="J379" s="67" t="s">
        <v>70</v>
      </c>
      <c r="K379" s="67">
        <v>4</v>
      </c>
      <c r="L379" s="299">
        <f t="shared" si="16"/>
        <v>0</v>
      </c>
      <c r="M379" s="221" t="s">
        <v>631</v>
      </c>
      <c r="N379" s="220">
        <f>IF(OR(M379="nio",M379="eigen dienst"),0,IF(M379&gt;0,M379*K379/O379,0))*VLOOKUP(B379,'2-Kosten per locatie'!$A$14:$C$33,3,FALSE)</f>
        <v>0</v>
      </c>
      <c r="O379" s="300">
        <f>IF(OR(M379="nio",M379="eigen dienst"),0,IF(M379&gt;0,VLOOKUP(H379,'3-Productie normen'!A:J,VLOOKUP(M379,'3-Productie normen'!$B$34:$C$35,2,FALSE),FALSE)))</f>
        <v>0</v>
      </c>
      <c r="P379" s="301" t="str">
        <f>VLOOKUP(H379,'3-Productie normen'!A:L,12,FALSE)</f>
        <v>V</v>
      </c>
      <c r="Q379" s="301"/>
      <c r="S379" s="302">
        <f t="shared" si="17"/>
        <v>0</v>
      </c>
    </row>
    <row r="380" spans="1:19" ht="14.15" customHeight="1">
      <c r="A380" s="71">
        <v>380</v>
      </c>
      <c r="B380" s="67" t="s">
        <v>214</v>
      </c>
      <c r="C380" s="467" t="s">
        <v>624</v>
      </c>
      <c r="D380" s="467" t="s">
        <v>720</v>
      </c>
      <c r="E380" s="67" t="s">
        <v>713</v>
      </c>
      <c r="F380" s="67" t="s">
        <v>240</v>
      </c>
      <c r="G380" s="67" t="s">
        <v>514</v>
      </c>
      <c r="H380" s="67" t="s">
        <v>37</v>
      </c>
      <c r="I380" s="67" t="s">
        <v>601</v>
      </c>
      <c r="J380" s="67" t="s">
        <v>179</v>
      </c>
      <c r="K380" s="67">
        <v>5.5</v>
      </c>
      <c r="L380" s="299">
        <f t="shared" si="16"/>
        <v>0</v>
      </c>
      <c r="M380" s="221" t="s">
        <v>631</v>
      </c>
      <c r="N380" s="220">
        <f>IF(OR(M380="nio",M380="eigen dienst"),0,IF(M380&gt;0,M380*K380/O380,0))*VLOOKUP(B380,'2-Kosten per locatie'!$A$14:$C$33,3,FALSE)</f>
        <v>0</v>
      </c>
      <c r="O380" s="300">
        <f>IF(OR(M380="nio",M380="eigen dienst"),0,IF(M380&gt;0,VLOOKUP(H380,'3-Productie normen'!A:J,VLOOKUP(M380,'3-Productie normen'!$B$34:$C$35,2,FALSE),FALSE)))</f>
        <v>0</v>
      </c>
      <c r="P380" s="301" t="str">
        <f>VLOOKUP(H380,'3-Productie normen'!A:L,12,FALSE)</f>
        <v>S</v>
      </c>
      <c r="Q380" s="301"/>
      <c r="S380" s="302">
        <f t="shared" si="17"/>
        <v>0</v>
      </c>
    </row>
    <row r="381" spans="1:19" ht="14.15" customHeight="1">
      <c r="A381" s="71">
        <v>381</v>
      </c>
      <c r="B381" s="67" t="s">
        <v>214</v>
      </c>
      <c r="C381" s="467" t="s">
        <v>624</v>
      </c>
      <c r="D381" s="467" t="s">
        <v>720</v>
      </c>
      <c r="E381" s="67" t="s">
        <v>713</v>
      </c>
      <c r="F381" s="67" t="s">
        <v>222</v>
      </c>
      <c r="G381" s="67" t="s">
        <v>515</v>
      </c>
      <c r="H381" s="67" t="s">
        <v>609</v>
      </c>
      <c r="I381" s="67" t="s">
        <v>70</v>
      </c>
      <c r="J381" s="67" t="s">
        <v>70</v>
      </c>
      <c r="K381" s="67">
        <v>50.5</v>
      </c>
      <c r="L381" s="299">
        <f t="shared" si="16"/>
        <v>0</v>
      </c>
      <c r="M381" s="221" t="s">
        <v>631</v>
      </c>
      <c r="N381" s="220">
        <f>IF(OR(M381="nio",M381="eigen dienst"),0,IF(M381&gt;0,M381*K381/O381,0))*VLOOKUP(B381,'2-Kosten per locatie'!$A$14:$C$33,3,FALSE)</f>
        <v>0</v>
      </c>
      <c r="O381" s="300">
        <f>IF(OR(M381="nio",M381="eigen dienst"),0,IF(M381&gt;0,VLOOKUP(H381,'3-Productie normen'!A:J,VLOOKUP(M381,'3-Productie normen'!$B$34:$C$35,2,FALSE),FALSE)))</f>
        <v>0</v>
      </c>
      <c r="P381" s="301" t="str">
        <f>VLOOKUP(H381,'3-Productie normen'!A:L,12,FALSE)</f>
        <v>L</v>
      </c>
      <c r="Q381" s="301"/>
      <c r="S381" s="302">
        <f t="shared" si="17"/>
        <v>0</v>
      </c>
    </row>
    <row r="382" spans="1:19" ht="14.15" customHeight="1">
      <c r="A382" s="71">
        <v>382</v>
      </c>
      <c r="B382" s="67" t="s">
        <v>214</v>
      </c>
      <c r="C382" s="467" t="s">
        <v>624</v>
      </c>
      <c r="D382" s="467" t="s">
        <v>720</v>
      </c>
      <c r="E382" s="67" t="s">
        <v>713</v>
      </c>
      <c r="F382" s="67" t="s">
        <v>223</v>
      </c>
      <c r="G382" s="67" t="s">
        <v>587</v>
      </c>
      <c r="H382" s="67" t="s">
        <v>35</v>
      </c>
      <c r="I382" s="67" t="s">
        <v>70</v>
      </c>
      <c r="J382" s="67" t="s">
        <v>70</v>
      </c>
      <c r="K382" s="67">
        <v>155.9</v>
      </c>
      <c r="L382" s="299">
        <f t="shared" si="16"/>
        <v>0</v>
      </c>
      <c r="M382" s="221" t="s">
        <v>631</v>
      </c>
      <c r="N382" s="220">
        <f>IF(OR(M382="nio",M382="eigen dienst"),0,IF(M382&gt;0,M382*K382/O382,0))*VLOOKUP(B382,'2-Kosten per locatie'!$A$14:$C$33,3,FALSE)</f>
        <v>0</v>
      </c>
      <c r="O382" s="300">
        <f>IF(OR(M382="nio",M382="eigen dienst"),0,IF(M382&gt;0,VLOOKUP(H382,'3-Productie normen'!A:J,VLOOKUP(M382,'3-Productie normen'!$B$34:$C$35,2,FALSE),FALSE)))</f>
        <v>0</v>
      </c>
      <c r="P382" s="301" t="str">
        <f>VLOOKUP(H382,'3-Productie normen'!A:L,12,FALSE)</f>
        <v>B</v>
      </c>
      <c r="Q382" s="301"/>
      <c r="S382" s="302">
        <f t="shared" si="17"/>
        <v>0</v>
      </c>
    </row>
    <row r="383" spans="1:19" ht="14.15" customHeight="1">
      <c r="A383" s="71">
        <v>383</v>
      </c>
      <c r="B383" s="67" t="s">
        <v>214</v>
      </c>
      <c r="C383" s="467" t="s">
        <v>624</v>
      </c>
      <c r="D383" s="467" t="s">
        <v>720</v>
      </c>
      <c r="E383" s="67" t="s">
        <v>713</v>
      </c>
      <c r="F383" s="67" t="s">
        <v>265</v>
      </c>
      <c r="G383" s="67" t="s">
        <v>515</v>
      </c>
      <c r="H383" s="67" t="s">
        <v>609</v>
      </c>
      <c r="I383" s="67" t="s">
        <v>70</v>
      </c>
      <c r="J383" s="67" t="s">
        <v>70</v>
      </c>
      <c r="K383" s="67">
        <v>49.5</v>
      </c>
      <c r="L383" s="299">
        <f t="shared" si="16"/>
        <v>0</v>
      </c>
      <c r="M383" s="221" t="s">
        <v>631</v>
      </c>
      <c r="N383" s="220">
        <f>IF(OR(M383="nio",M383="eigen dienst"),0,IF(M383&gt;0,M383*K383/O383,0))*VLOOKUP(B383,'2-Kosten per locatie'!$A$14:$C$33,3,FALSE)</f>
        <v>0</v>
      </c>
      <c r="O383" s="300">
        <f>IF(OR(M383="nio",M383="eigen dienst"),0,IF(M383&gt;0,VLOOKUP(H383,'3-Productie normen'!A:J,VLOOKUP(M383,'3-Productie normen'!$B$34:$C$35,2,FALSE),FALSE)))</f>
        <v>0</v>
      </c>
      <c r="P383" s="301" t="str">
        <f>VLOOKUP(H383,'3-Productie normen'!A:L,12,FALSE)</f>
        <v>L</v>
      </c>
      <c r="Q383" s="301"/>
      <c r="S383" s="302">
        <f t="shared" si="17"/>
        <v>0</v>
      </c>
    </row>
    <row r="384" spans="1:19" ht="14.15" customHeight="1">
      <c r="A384" s="71">
        <v>384</v>
      </c>
      <c r="B384" s="67" t="s">
        <v>214</v>
      </c>
      <c r="C384" s="467" t="s">
        <v>624</v>
      </c>
      <c r="D384" s="467" t="s">
        <v>720</v>
      </c>
      <c r="E384" s="67" t="s">
        <v>713</v>
      </c>
      <c r="F384" s="67" t="s">
        <v>224</v>
      </c>
      <c r="G384" s="67" t="s">
        <v>515</v>
      </c>
      <c r="H384" s="67" t="s">
        <v>609</v>
      </c>
      <c r="I384" s="67" t="s">
        <v>70</v>
      </c>
      <c r="J384" s="67" t="s">
        <v>70</v>
      </c>
      <c r="K384" s="67">
        <v>49.5</v>
      </c>
      <c r="L384" s="299">
        <f t="shared" si="16"/>
        <v>0</v>
      </c>
      <c r="M384" s="221" t="s">
        <v>631</v>
      </c>
      <c r="N384" s="220">
        <f>IF(OR(M384="nio",M384="eigen dienst"),0,IF(M384&gt;0,M384*K384/O384,0))*VLOOKUP(B384,'2-Kosten per locatie'!$A$14:$C$33,3,FALSE)</f>
        <v>0</v>
      </c>
      <c r="O384" s="300">
        <f>IF(OR(M384="nio",M384="eigen dienst"),0,IF(M384&gt;0,VLOOKUP(H384,'3-Productie normen'!A:J,VLOOKUP(M384,'3-Productie normen'!$B$34:$C$35,2,FALSE),FALSE)))</f>
        <v>0</v>
      </c>
      <c r="P384" s="301" t="str">
        <f>VLOOKUP(H384,'3-Productie normen'!A:L,12,FALSE)</f>
        <v>L</v>
      </c>
      <c r="Q384" s="301"/>
      <c r="S384" s="302">
        <f t="shared" si="17"/>
        <v>0</v>
      </c>
    </row>
    <row r="385" spans="1:19" ht="14.15" customHeight="1">
      <c r="A385" s="71">
        <v>385</v>
      </c>
      <c r="B385" s="67" t="s">
        <v>214</v>
      </c>
      <c r="C385" s="467" t="s">
        <v>624</v>
      </c>
      <c r="D385" s="467" t="s">
        <v>720</v>
      </c>
      <c r="E385" s="67" t="s">
        <v>713</v>
      </c>
      <c r="F385" s="67" t="s">
        <v>225</v>
      </c>
      <c r="G385" s="67" t="s">
        <v>515</v>
      </c>
      <c r="H385" s="67" t="s">
        <v>609</v>
      </c>
      <c r="I385" s="67" t="s">
        <v>70</v>
      </c>
      <c r="J385" s="67" t="s">
        <v>70</v>
      </c>
      <c r="K385" s="67">
        <v>48.4</v>
      </c>
      <c r="L385" s="299">
        <f t="shared" si="16"/>
        <v>0</v>
      </c>
      <c r="M385" s="221" t="s">
        <v>631</v>
      </c>
      <c r="N385" s="220">
        <f>IF(OR(M385="nio",M385="eigen dienst"),0,IF(M385&gt;0,M385*K385/O385,0))*VLOOKUP(B385,'2-Kosten per locatie'!$A$14:$C$33,3,FALSE)</f>
        <v>0</v>
      </c>
      <c r="O385" s="300">
        <f>IF(OR(M385="nio",M385="eigen dienst"),0,IF(M385&gt;0,VLOOKUP(H385,'3-Productie normen'!A:J,VLOOKUP(M385,'3-Productie normen'!$B$34:$C$35,2,FALSE),FALSE)))</f>
        <v>0</v>
      </c>
      <c r="P385" s="301" t="str">
        <f>VLOOKUP(H385,'3-Productie normen'!A:L,12,FALSE)</f>
        <v>L</v>
      </c>
      <c r="Q385" s="301"/>
      <c r="S385" s="302">
        <f t="shared" si="17"/>
        <v>0</v>
      </c>
    </row>
    <row r="386" spans="1:19" ht="14.15" customHeight="1">
      <c r="A386" s="71">
        <v>386</v>
      </c>
      <c r="B386" s="67" t="s">
        <v>214</v>
      </c>
      <c r="C386" s="467" t="s">
        <v>624</v>
      </c>
      <c r="D386" s="467" t="s">
        <v>720</v>
      </c>
      <c r="E386" s="67" t="s">
        <v>713</v>
      </c>
      <c r="F386" s="67" t="s">
        <v>226</v>
      </c>
      <c r="G386" s="67" t="s">
        <v>515</v>
      </c>
      <c r="H386" s="67" t="s">
        <v>609</v>
      </c>
      <c r="I386" s="67" t="s">
        <v>70</v>
      </c>
      <c r="J386" s="67" t="s">
        <v>70</v>
      </c>
      <c r="K386" s="67">
        <v>49.2</v>
      </c>
      <c r="L386" s="299">
        <f t="shared" si="16"/>
        <v>0</v>
      </c>
      <c r="M386" s="221" t="s">
        <v>631</v>
      </c>
      <c r="N386" s="220">
        <f>IF(OR(M386="nio",M386="eigen dienst"),0,IF(M386&gt;0,M386*K386/O386,0))*VLOOKUP(B386,'2-Kosten per locatie'!$A$14:$C$33,3,FALSE)</f>
        <v>0</v>
      </c>
      <c r="O386" s="300">
        <f>IF(OR(M386="nio",M386="eigen dienst"),0,IF(M386&gt;0,VLOOKUP(H386,'3-Productie normen'!A:J,VLOOKUP(M386,'3-Productie normen'!$B$34:$C$35,2,FALSE),FALSE)))</f>
        <v>0</v>
      </c>
      <c r="P386" s="301" t="str">
        <f>VLOOKUP(H386,'3-Productie normen'!A:L,12,FALSE)</f>
        <v>L</v>
      </c>
      <c r="Q386" s="301"/>
      <c r="S386" s="302">
        <f t="shared" si="17"/>
        <v>0</v>
      </c>
    </row>
    <row r="387" spans="1:19" ht="14.15" customHeight="1">
      <c r="A387" s="71">
        <v>387</v>
      </c>
      <c r="B387" s="67" t="s">
        <v>214</v>
      </c>
      <c r="C387" s="467" t="s">
        <v>624</v>
      </c>
      <c r="D387" s="467" t="s">
        <v>720</v>
      </c>
      <c r="E387" s="67" t="s">
        <v>713</v>
      </c>
      <c r="F387" s="67" t="s">
        <v>227</v>
      </c>
      <c r="G387" s="67" t="s">
        <v>515</v>
      </c>
      <c r="H387" s="67" t="s">
        <v>609</v>
      </c>
      <c r="I387" s="67" t="s">
        <v>70</v>
      </c>
      <c r="J387" s="67" t="s">
        <v>70</v>
      </c>
      <c r="K387" s="67">
        <v>49.2</v>
      </c>
      <c r="L387" s="299">
        <f t="shared" si="16"/>
        <v>0</v>
      </c>
      <c r="M387" s="221" t="s">
        <v>631</v>
      </c>
      <c r="N387" s="220">
        <f>IF(OR(M387="nio",M387="eigen dienst"),0,IF(M387&gt;0,M387*K387/O387,0))*VLOOKUP(B387,'2-Kosten per locatie'!$A$14:$C$33,3,FALSE)</f>
        <v>0</v>
      </c>
      <c r="O387" s="300">
        <f>IF(OR(M387="nio",M387="eigen dienst"),0,IF(M387&gt;0,VLOOKUP(H387,'3-Productie normen'!A:J,VLOOKUP(M387,'3-Productie normen'!$B$34:$C$35,2,FALSE),FALSE)))</f>
        <v>0</v>
      </c>
      <c r="P387" s="301" t="str">
        <f>VLOOKUP(H387,'3-Productie normen'!A:L,12,FALSE)</f>
        <v>L</v>
      </c>
      <c r="Q387" s="301"/>
      <c r="S387" s="302">
        <f t="shared" si="17"/>
        <v>0</v>
      </c>
    </row>
    <row r="388" spans="1:19" ht="14.15" customHeight="1">
      <c r="A388" s="71">
        <v>388</v>
      </c>
      <c r="B388" s="67" t="s">
        <v>215</v>
      </c>
      <c r="C388" s="467" t="s">
        <v>625</v>
      </c>
      <c r="D388" s="467" t="s">
        <v>720</v>
      </c>
      <c r="E388" s="67" t="s">
        <v>713</v>
      </c>
      <c r="F388" s="67" t="s">
        <v>220</v>
      </c>
      <c r="G388" s="67" t="s">
        <v>47</v>
      </c>
      <c r="H388" s="67" t="s">
        <v>47</v>
      </c>
      <c r="I388" s="67" t="s">
        <v>597</v>
      </c>
      <c r="J388" s="67" t="s">
        <v>201</v>
      </c>
      <c r="K388" s="67">
        <v>5.0999999999999996</v>
      </c>
      <c r="L388" s="299">
        <f t="shared" si="16"/>
        <v>0</v>
      </c>
      <c r="M388" s="221" t="s">
        <v>631</v>
      </c>
      <c r="N388" s="220">
        <f>IF(OR(M388="nio",M388="eigen dienst"),0,IF(M388&gt;0,M388*K388/O388,0))*VLOOKUP(B388,'2-Kosten per locatie'!$A$14:$C$33,3,FALSE)</f>
        <v>0</v>
      </c>
      <c r="O388" s="300">
        <f>IF(OR(M388="nio",M388="eigen dienst"),0,IF(M388&gt;0,VLOOKUP(H388,'3-Productie normen'!A:J,VLOOKUP(M388,'3-Productie normen'!$B$34:$C$35,2,FALSE),FALSE)))</f>
        <v>0</v>
      </c>
      <c r="P388" s="301" t="str">
        <f>VLOOKUP(H388,'3-Productie normen'!A:L,12,FALSE)</f>
        <v>V</v>
      </c>
      <c r="Q388" s="301"/>
      <c r="S388" s="302">
        <f t="shared" si="17"/>
        <v>0</v>
      </c>
    </row>
    <row r="389" spans="1:19" ht="14.15" customHeight="1">
      <c r="A389" s="71">
        <v>389</v>
      </c>
      <c r="B389" s="67" t="s">
        <v>215</v>
      </c>
      <c r="C389" s="467" t="s">
        <v>625</v>
      </c>
      <c r="D389" s="467" t="s">
        <v>720</v>
      </c>
      <c r="E389" s="67" t="s">
        <v>713</v>
      </c>
      <c r="F389" s="67" t="s">
        <v>228</v>
      </c>
      <c r="G389" s="67" t="s">
        <v>578</v>
      </c>
      <c r="H389" s="67" t="s">
        <v>39</v>
      </c>
      <c r="I389" s="67" t="s">
        <v>70</v>
      </c>
      <c r="J389" s="67" t="s">
        <v>70</v>
      </c>
      <c r="K389" s="67">
        <v>42.4</v>
      </c>
      <c r="L389" s="299">
        <f t="shared" si="16"/>
        <v>0</v>
      </c>
      <c r="M389" s="221" t="s">
        <v>631</v>
      </c>
      <c r="N389" s="220">
        <f>IF(OR(M389="nio",M389="eigen dienst"),0,IF(M389&gt;0,M389*K389/O389,0))*VLOOKUP(B389,'2-Kosten per locatie'!$A$14:$C$33,3,FALSE)</f>
        <v>0</v>
      </c>
      <c r="O389" s="300">
        <f>IF(OR(M389="nio",M389="eigen dienst"),0,IF(M389&gt;0,VLOOKUP(H389,'3-Productie normen'!A:J,VLOOKUP(M389,'3-Productie normen'!$B$34:$C$35,2,FALSE),FALSE)))</f>
        <v>0</v>
      </c>
      <c r="P389" s="301" t="str">
        <f>VLOOKUP(H389,'3-Productie normen'!A:L,12,FALSE)</f>
        <v>V</v>
      </c>
      <c r="Q389" s="301"/>
      <c r="S389" s="302">
        <f t="shared" si="17"/>
        <v>0</v>
      </c>
    </row>
    <row r="390" spans="1:19" ht="14.15" customHeight="1">
      <c r="A390" s="71">
        <v>390</v>
      </c>
      <c r="B390" s="67" t="s">
        <v>215</v>
      </c>
      <c r="C390" s="467" t="s">
        <v>625</v>
      </c>
      <c r="D390" s="467" t="s">
        <v>720</v>
      </c>
      <c r="E390" s="67" t="s">
        <v>713</v>
      </c>
      <c r="F390" s="67" t="s">
        <v>229</v>
      </c>
      <c r="G390" s="67" t="s">
        <v>521</v>
      </c>
      <c r="H390" s="67" t="s">
        <v>43</v>
      </c>
      <c r="I390" s="67" t="s">
        <v>70</v>
      </c>
      <c r="J390" s="67" t="s">
        <v>70</v>
      </c>
      <c r="K390" s="67">
        <v>18.8</v>
      </c>
      <c r="L390" s="299">
        <f t="shared" si="16"/>
        <v>0</v>
      </c>
      <c r="M390" s="221" t="s">
        <v>631</v>
      </c>
      <c r="N390" s="220">
        <f>IF(OR(M390="nio",M390="eigen dienst"),0,IF(M390&gt;0,M390*K390/O390,0))*VLOOKUP(B390,'2-Kosten per locatie'!$A$14:$C$33,3,FALSE)</f>
        <v>0</v>
      </c>
      <c r="O390" s="300">
        <f>IF(OR(M390="nio",M390="eigen dienst"),0,IF(M390&gt;0,VLOOKUP(H390,'3-Productie normen'!A:J,VLOOKUP(M390,'3-Productie normen'!$B$34:$C$35,2,FALSE),FALSE)))</f>
        <v>0</v>
      </c>
      <c r="P390" s="301" t="str">
        <f>VLOOKUP(H390,'3-Productie normen'!A:L,12,FALSE)</f>
        <v>B</v>
      </c>
      <c r="Q390" s="301"/>
      <c r="S390" s="302">
        <f t="shared" si="17"/>
        <v>0</v>
      </c>
    </row>
    <row r="391" spans="1:19" ht="14.15" customHeight="1">
      <c r="A391" s="71">
        <v>391</v>
      </c>
      <c r="B391" s="67" t="s">
        <v>215</v>
      </c>
      <c r="C391" s="467" t="s">
        <v>625</v>
      </c>
      <c r="D391" s="467" t="s">
        <v>720</v>
      </c>
      <c r="E391" s="67" t="s">
        <v>713</v>
      </c>
      <c r="F391" s="67" t="s">
        <v>230</v>
      </c>
      <c r="G391" s="67" t="s">
        <v>518</v>
      </c>
      <c r="H391" s="67" t="s">
        <v>44</v>
      </c>
      <c r="I391" s="67" t="s">
        <v>70</v>
      </c>
      <c r="J391" s="67" t="s">
        <v>70</v>
      </c>
      <c r="K391" s="67">
        <v>0</v>
      </c>
      <c r="L391" s="299">
        <f t="shared" si="16"/>
        <v>0</v>
      </c>
      <c r="M391" s="221" t="s">
        <v>631</v>
      </c>
      <c r="N391" s="220">
        <f>IF(OR(M391="nio",M391="eigen dienst"),0,IF(M391&gt;0,M391*K391/O391,0))*VLOOKUP(B391,'2-Kosten per locatie'!$A$14:$C$33,3,FALSE)</f>
        <v>0</v>
      </c>
      <c r="O391" s="300">
        <f>IF(OR(M391="nio",M391="eigen dienst"),0,IF(M391&gt;0,VLOOKUP(H391,'3-Productie normen'!A:J,VLOOKUP(M391,'3-Productie normen'!$B$34:$C$35,2,FALSE),FALSE)))</f>
        <v>0</v>
      </c>
      <c r="P391" s="301" t="str">
        <f>VLOOKUP(H391,'3-Productie normen'!A:L,12,FALSE)</f>
        <v>V</v>
      </c>
      <c r="Q391" s="301"/>
      <c r="S391" s="302">
        <f t="shared" si="17"/>
        <v>0</v>
      </c>
    </row>
    <row r="392" spans="1:19" ht="14.15" customHeight="1">
      <c r="A392" s="71">
        <v>392</v>
      </c>
      <c r="B392" s="67" t="s">
        <v>215</v>
      </c>
      <c r="C392" s="467" t="s">
        <v>625</v>
      </c>
      <c r="D392" s="467" t="s">
        <v>720</v>
      </c>
      <c r="E392" s="67" t="s">
        <v>713</v>
      </c>
      <c r="F392" s="67" t="s">
        <v>231</v>
      </c>
      <c r="G392" s="67" t="s">
        <v>515</v>
      </c>
      <c r="H392" s="67" t="s">
        <v>609</v>
      </c>
      <c r="I392" s="67" t="s">
        <v>70</v>
      </c>
      <c r="J392" s="67" t="s">
        <v>70</v>
      </c>
      <c r="K392" s="67">
        <v>56.9</v>
      </c>
      <c r="L392" s="299">
        <f t="shared" si="16"/>
        <v>0</v>
      </c>
      <c r="M392" s="221" t="s">
        <v>631</v>
      </c>
      <c r="N392" s="220">
        <f>IF(OR(M392="nio",M392="eigen dienst"),0,IF(M392&gt;0,M392*K392/O392,0))*VLOOKUP(B392,'2-Kosten per locatie'!$A$14:$C$33,3,FALSE)</f>
        <v>0</v>
      </c>
      <c r="O392" s="300">
        <f>IF(OR(M392="nio",M392="eigen dienst"),0,IF(M392&gt;0,VLOOKUP(H392,'3-Productie normen'!A:J,VLOOKUP(M392,'3-Productie normen'!$B$34:$C$35,2,FALSE),FALSE)))</f>
        <v>0</v>
      </c>
      <c r="P392" s="301" t="str">
        <f>VLOOKUP(H392,'3-Productie normen'!A:L,12,FALSE)</f>
        <v>L</v>
      </c>
      <c r="Q392" s="301"/>
      <c r="S392" s="302">
        <f t="shared" si="17"/>
        <v>0</v>
      </c>
    </row>
    <row r="393" spans="1:19" ht="14.15" customHeight="1">
      <c r="A393" s="71">
        <v>393</v>
      </c>
      <c r="B393" s="67" t="s">
        <v>215</v>
      </c>
      <c r="C393" s="467" t="s">
        <v>625</v>
      </c>
      <c r="D393" s="467" t="s">
        <v>720</v>
      </c>
      <c r="E393" s="67" t="s">
        <v>713</v>
      </c>
      <c r="F393" s="67" t="s">
        <v>232</v>
      </c>
      <c r="G393" s="67" t="s">
        <v>515</v>
      </c>
      <c r="H393" s="67" t="s">
        <v>609</v>
      </c>
      <c r="I393" s="67" t="s">
        <v>70</v>
      </c>
      <c r="J393" s="67" t="s">
        <v>70</v>
      </c>
      <c r="K393" s="67">
        <v>33.4</v>
      </c>
      <c r="L393" s="299">
        <f t="shared" si="16"/>
        <v>0</v>
      </c>
      <c r="M393" s="221" t="s">
        <v>631</v>
      </c>
      <c r="N393" s="220">
        <f>IF(OR(M393="nio",M393="eigen dienst"),0,IF(M393&gt;0,M393*K393/O393,0))*VLOOKUP(B393,'2-Kosten per locatie'!$A$14:$C$33,3,FALSE)</f>
        <v>0</v>
      </c>
      <c r="O393" s="300">
        <f>IF(OR(M393="nio",M393="eigen dienst"),0,IF(M393&gt;0,VLOOKUP(H393,'3-Productie normen'!A:J,VLOOKUP(M393,'3-Productie normen'!$B$34:$C$35,2,FALSE),FALSE)))</f>
        <v>0</v>
      </c>
      <c r="P393" s="301" t="str">
        <f>VLOOKUP(H393,'3-Productie normen'!A:L,12,FALSE)</f>
        <v>L</v>
      </c>
      <c r="Q393" s="301"/>
      <c r="S393" s="302">
        <f t="shared" si="17"/>
        <v>0</v>
      </c>
    </row>
    <row r="394" spans="1:19" ht="14.15" customHeight="1">
      <c r="A394" s="71">
        <v>394</v>
      </c>
      <c r="B394" s="67" t="s">
        <v>215</v>
      </c>
      <c r="C394" s="467" t="s">
        <v>625</v>
      </c>
      <c r="D394" s="467" t="s">
        <v>720</v>
      </c>
      <c r="E394" s="67" t="s">
        <v>713</v>
      </c>
      <c r="F394" s="67" t="s">
        <v>233</v>
      </c>
      <c r="G394" s="67" t="s">
        <v>515</v>
      </c>
      <c r="H394" s="67" t="s">
        <v>609</v>
      </c>
      <c r="I394" s="67" t="s">
        <v>70</v>
      </c>
      <c r="J394" s="67" t="s">
        <v>70</v>
      </c>
      <c r="K394" s="67">
        <v>53.9</v>
      </c>
      <c r="L394" s="299">
        <f t="shared" si="16"/>
        <v>0</v>
      </c>
      <c r="M394" s="221" t="s">
        <v>631</v>
      </c>
      <c r="N394" s="220">
        <f>IF(OR(M394="nio",M394="eigen dienst"),0,IF(M394&gt;0,M394*K394/O394,0))*VLOOKUP(B394,'2-Kosten per locatie'!$A$14:$C$33,3,FALSE)</f>
        <v>0</v>
      </c>
      <c r="O394" s="300">
        <f>IF(OR(M394="nio",M394="eigen dienst"),0,IF(M394&gt;0,VLOOKUP(H394,'3-Productie normen'!A:J,VLOOKUP(M394,'3-Productie normen'!$B$34:$C$35,2,FALSE),FALSE)))</f>
        <v>0</v>
      </c>
      <c r="P394" s="301" t="str">
        <f>VLOOKUP(H394,'3-Productie normen'!A:L,12,FALSE)</f>
        <v>L</v>
      </c>
      <c r="Q394" s="301"/>
      <c r="S394" s="302">
        <f t="shared" si="17"/>
        <v>0</v>
      </c>
    </row>
    <row r="395" spans="1:19" ht="14.15" customHeight="1">
      <c r="A395" s="71">
        <v>395</v>
      </c>
      <c r="B395" s="67" t="s">
        <v>215</v>
      </c>
      <c r="C395" s="467" t="s">
        <v>625</v>
      </c>
      <c r="D395" s="467" t="s">
        <v>720</v>
      </c>
      <c r="E395" s="67" t="s">
        <v>713</v>
      </c>
      <c r="F395" s="67" t="s">
        <v>234</v>
      </c>
      <c r="G395" s="67" t="s">
        <v>515</v>
      </c>
      <c r="H395" s="67" t="s">
        <v>609</v>
      </c>
      <c r="I395" s="67" t="s">
        <v>70</v>
      </c>
      <c r="J395" s="67" t="s">
        <v>70</v>
      </c>
      <c r="K395" s="67">
        <v>57</v>
      </c>
      <c r="L395" s="299">
        <f t="shared" si="16"/>
        <v>0</v>
      </c>
      <c r="M395" s="221" t="s">
        <v>631</v>
      </c>
      <c r="N395" s="220">
        <f>IF(OR(M395="nio",M395="eigen dienst"),0,IF(M395&gt;0,M395*K395/O395,0))*VLOOKUP(B395,'2-Kosten per locatie'!$A$14:$C$33,3,FALSE)</f>
        <v>0</v>
      </c>
      <c r="O395" s="300">
        <f>IF(OR(M395="nio",M395="eigen dienst"),0,IF(M395&gt;0,VLOOKUP(H395,'3-Productie normen'!A:J,VLOOKUP(M395,'3-Productie normen'!$B$34:$C$35,2,FALSE),FALSE)))</f>
        <v>0</v>
      </c>
      <c r="P395" s="301" t="str">
        <f>VLOOKUP(H395,'3-Productie normen'!A:L,12,FALSE)</f>
        <v>L</v>
      </c>
      <c r="Q395" s="301"/>
      <c r="S395" s="302">
        <f t="shared" si="17"/>
        <v>0</v>
      </c>
    </row>
    <row r="396" spans="1:19" ht="14.15" customHeight="1">
      <c r="A396" s="71">
        <v>396</v>
      </c>
      <c r="B396" s="67" t="s">
        <v>215</v>
      </c>
      <c r="C396" s="467" t="s">
        <v>625</v>
      </c>
      <c r="D396" s="467" t="s">
        <v>720</v>
      </c>
      <c r="E396" s="67" t="s">
        <v>713</v>
      </c>
      <c r="F396" s="67" t="s">
        <v>236</v>
      </c>
      <c r="G396" s="67" t="s">
        <v>514</v>
      </c>
      <c r="H396" s="67" t="s">
        <v>37</v>
      </c>
      <c r="I396" s="67" t="s">
        <v>601</v>
      </c>
      <c r="J396" s="67" t="s">
        <v>179</v>
      </c>
      <c r="K396" s="67">
        <v>4.9000000000000004</v>
      </c>
      <c r="L396" s="299">
        <f t="shared" si="16"/>
        <v>0</v>
      </c>
      <c r="M396" s="221" t="s">
        <v>631</v>
      </c>
      <c r="N396" s="220">
        <f>IF(OR(M396="nio",M396="eigen dienst"),0,IF(M396&gt;0,M396*K396/O396,0))*VLOOKUP(B396,'2-Kosten per locatie'!$A$14:$C$33,3,FALSE)</f>
        <v>0</v>
      </c>
      <c r="O396" s="300">
        <f>IF(OR(M396="nio",M396="eigen dienst"),0,IF(M396&gt;0,VLOOKUP(H396,'3-Productie normen'!A:J,VLOOKUP(M396,'3-Productie normen'!$B$34:$C$35,2,FALSE),FALSE)))</f>
        <v>0</v>
      </c>
      <c r="P396" s="301" t="str">
        <f>VLOOKUP(H396,'3-Productie normen'!A:L,12,FALSE)</f>
        <v>S</v>
      </c>
      <c r="Q396" s="301"/>
      <c r="S396" s="302">
        <f t="shared" si="17"/>
        <v>0</v>
      </c>
    </row>
    <row r="397" spans="1:19" ht="14.15" customHeight="1">
      <c r="A397" s="71">
        <v>397</v>
      </c>
      <c r="B397" s="67" t="s">
        <v>215</v>
      </c>
      <c r="C397" s="467" t="s">
        <v>625</v>
      </c>
      <c r="D397" s="467" t="s">
        <v>720</v>
      </c>
      <c r="E397" s="67" t="s">
        <v>713</v>
      </c>
      <c r="F397" s="67" t="s">
        <v>237</v>
      </c>
      <c r="G397" s="67" t="s">
        <v>539</v>
      </c>
      <c r="H397" s="67" t="s">
        <v>37</v>
      </c>
      <c r="I397" s="67" t="s">
        <v>601</v>
      </c>
      <c r="J397" s="67" t="s">
        <v>179</v>
      </c>
      <c r="K397" s="67">
        <v>4.0999999999999996</v>
      </c>
      <c r="L397" s="299">
        <f t="shared" si="16"/>
        <v>0</v>
      </c>
      <c r="M397" s="221" t="s">
        <v>631</v>
      </c>
      <c r="N397" s="220">
        <f>IF(OR(M397="nio",M397="eigen dienst"),0,IF(M397&gt;0,M397*K397/O397,0))*VLOOKUP(B397,'2-Kosten per locatie'!$A$14:$C$33,3,FALSE)</f>
        <v>0</v>
      </c>
      <c r="O397" s="300">
        <f>IF(OR(M397="nio",M397="eigen dienst"),0,IF(M397&gt;0,VLOOKUP(H397,'3-Productie normen'!A:J,VLOOKUP(M397,'3-Productie normen'!$B$34:$C$35,2,FALSE),FALSE)))</f>
        <v>0</v>
      </c>
      <c r="P397" s="301" t="str">
        <f>VLOOKUP(H397,'3-Productie normen'!A:L,12,FALSE)</f>
        <v>S</v>
      </c>
      <c r="Q397" s="301"/>
      <c r="S397" s="302">
        <f t="shared" si="17"/>
        <v>0</v>
      </c>
    </row>
    <row r="398" spans="1:19" ht="14.15" customHeight="1">
      <c r="A398" s="71">
        <v>398</v>
      </c>
      <c r="B398" s="67" t="s">
        <v>215</v>
      </c>
      <c r="C398" s="467" t="s">
        <v>625</v>
      </c>
      <c r="D398" s="467" t="s">
        <v>720</v>
      </c>
      <c r="E398" s="67" t="s">
        <v>713</v>
      </c>
      <c r="F398" s="67" t="s">
        <v>221</v>
      </c>
      <c r="G398" s="67" t="s">
        <v>514</v>
      </c>
      <c r="H398" s="67" t="s">
        <v>37</v>
      </c>
      <c r="I398" s="67" t="s">
        <v>601</v>
      </c>
      <c r="J398" s="67" t="s">
        <v>179</v>
      </c>
      <c r="K398" s="67">
        <v>3</v>
      </c>
      <c r="L398" s="299">
        <f t="shared" ref="L398:L460" si="18">SUM(M398:M398)</f>
        <v>0</v>
      </c>
      <c r="M398" s="221" t="s">
        <v>631</v>
      </c>
      <c r="N398" s="220">
        <f>IF(OR(M398="nio",M398="eigen dienst"),0,IF(M398&gt;0,M398*K398/O398,0))*VLOOKUP(B398,'2-Kosten per locatie'!$A$14:$C$33,3,FALSE)</f>
        <v>0</v>
      </c>
      <c r="O398" s="300">
        <f>IF(OR(M398="nio",M398="eigen dienst"),0,IF(M398&gt;0,VLOOKUP(H398,'3-Productie normen'!A:J,VLOOKUP(M398,'3-Productie normen'!$B$34:$C$35,2,FALSE),FALSE)))</f>
        <v>0</v>
      </c>
      <c r="P398" s="301" t="str">
        <f>VLOOKUP(H398,'3-Productie normen'!A:L,12,FALSE)</f>
        <v>S</v>
      </c>
      <c r="Q398" s="301"/>
      <c r="S398" s="302">
        <f t="shared" ref="S398:S460" si="19">L398*K398</f>
        <v>0</v>
      </c>
    </row>
    <row r="399" spans="1:19" ht="14.15" customHeight="1">
      <c r="A399" s="71">
        <v>399</v>
      </c>
      <c r="B399" s="67" t="s">
        <v>215</v>
      </c>
      <c r="C399" s="467" t="s">
        <v>625</v>
      </c>
      <c r="D399" s="467" t="s">
        <v>720</v>
      </c>
      <c r="E399" s="67" t="s">
        <v>713</v>
      </c>
      <c r="F399" s="67" t="s">
        <v>238</v>
      </c>
      <c r="G399" s="67" t="s">
        <v>516</v>
      </c>
      <c r="H399" s="67" t="s">
        <v>35</v>
      </c>
      <c r="I399" s="67" t="s">
        <v>70</v>
      </c>
      <c r="J399" s="67" t="s">
        <v>70</v>
      </c>
      <c r="K399" s="67">
        <v>13.2</v>
      </c>
      <c r="L399" s="299">
        <f t="shared" si="18"/>
        <v>0</v>
      </c>
      <c r="M399" s="221" t="s">
        <v>631</v>
      </c>
      <c r="N399" s="220">
        <f>IF(OR(M399="nio",M399="eigen dienst"),0,IF(M399&gt;0,M399*K399/O399,0))*VLOOKUP(B399,'2-Kosten per locatie'!$A$14:$C$33,3,FALSE)</f>
        <v>0</v>
      </c>
      <c r="O399" s="300">
        <f>IF(OR(M399="nio",M399="eigen dienst"),0,IF(M399&gt;0,VLOOKUP(H399,'3-Productie normen'!A:J,VLOOKUP(M399,'3-Productie normen'!$B$34:$C$35,2,FALSE),FALSE)))</f>
        <v>0</v>
      </c>
      <c r="P399" s="301" t="str">
        <f>VLOOKUP(H399,'3-Productie normen'!A:L,12,FALSE)</f>
        <v>B</v>
      </c>
      <c r="Q399" s="301"/>
      <c r="S399" s="302">
        <f t="shared" si="19"/>
        <v>0</v>
      </c>
    </row>
    <row r="400" spans="1:19" ht="14.15" customHeight="1">
      <c r="A400" s="71">
        <v>400</v>
      </c>
      <c r="B400" s="67" t="s">
        <v>215</v>
      </c>
      <c r="C400" s="467" t="s">
        <v>625</v>
      </c>
      <c r="D400" s="467" t="s">
        <v>720</v>
      </c>
      <c r="E400" s="67" t="s">
        <v>713</v>
      </c>
      <c r="F400" s="67" t="s">
        <v>239</v>
      </c>
      <c r="G400" s="67" t="s">
        <v>516</v>
      </c>
      <c r="H400" s="67" t="s">
        <v>35</v>
      </c>
      <c r="I400" s="67" t="s">
        <v>70</v>
      </c>
      <c r="J400" s="67" t="s">
        <v>70</v>
      </c>
      <c r="K400" s="67">
        <v>14.2</v>
      </c>
      <c r="L400" s="299">
        <f t="shared" si="18"/>
        <v>0</v>
      </c>
      <c r="M400" s="221" t="s">
        <v>631</v>
      </c>
      <c r="N400" s="220">
        <f>IF(OR(M400="nio",M400="eigen dienst"),0,IF(M400&gt;0,M400*K400/O400,0))*VLOOKUP(B400,'2-Kosten per locatie'!$A$14:$C$33,3,FALSE)</f>
        <v>0</v>
      </c>
      <c r="O400" s="300">
        <f>IF(OR(M400="nio",M400="eigen dienst"),0,IF(M400&gt;0,VLOOKUP(H400,'3-Productie normen'!A:J,VLOOKUP(M400,'3-Productie normen'!$B$34:$C$35,2,FALSE),FALSE)))</f>
        <v>0</v>
      </c>
      <c r="P400" s="301" t="str">
        <f>VLOOKUP(H400,'3-Productie normen'!A:L,12,FALSE)</f>
        <v>B</v>
      </c>
      <c r="Q400" s="301"/>
      <c r="S400" s="302">
        <f t="shared" si="19"/>
        <v>0</v>
      </c>
    </row>
    <row r="401" spans="1:19" ht="14.15" customHeight="1">
      <c r="A401" s="71">
        <v>401</v>
      </c>
      <c r="B401" s="67" t="s">
        <v>215</v>
      </c>
      <c r="C401" s="467" t="s">
        <v>625</v>
      </c>
      <c r="D401" s="467" t="s">
        <v>720</v>
      </c>
      <c r="E401" s="67" t="s">
        <v>713</v>
      </c>
      <c r="F401" s="67" t="s">
        <v>240</v>
      </c>
      <c r="G401" s="67" t="s">
        <v>512</v>
      </c>
      <c r="H401" s="67" t="s">
        <v>39</v>
      </c>
      <c r="I401" s="67" t="s">
        <v>70</v>
      </c>
      <c r="J401" s="67" t="s">
        <v>70</v>
      </c>
      <c r="K401" s="67">
        <v>27.4</v>
      </c>
      <c r="L401" s="299">
        <f t="shared" si="18"/>
        <v>0</v>
      </c>
      <c r="M401" s="221" t="s">
        <v>631</v>
      </c>
      <c r="N401" s="220">
        <f>IF(OR(M401="nio",M401="eigen dienst"),0,IF(M401&gt;0,M401*K401/O401,0))*VLOOKUP(B401,'2-Kosten per locatie'!$A$14:$C$33,3,FALSE)</f>
        <v>0</v>
      </c>
      <c r="O401" s="300">
        <f>IF(OR(M401="nio",M401="eigen dienst"),0,IF(M401&gt;0,VLOOKUP(H401,'3-Productie normen'!A:J,VLOOKUP(M401,'3-Productie normen'!$B$34:$C$35,2,FALSE),FALSE)))</f>
        <v>0</v>
      </c>
      <c r="P401" s="301" t="str">
        <f>VLOOKUP(H401,'3-Productie normen'!A:L,12,FALSE)</f>
        <v>V</v>
      </c>
      <c r="Q401" s="301"/>
      <c r="S401" s="302">
        <f t="shared" si="19"/>
        <v>0</v>
      </c>
    </row>
    <row r="402" spans="1:19" ht="14.15" customHeight="1">
      <c r="A402" s="71">
        <v>402</v>
      </c>
      <c r="B402" s="67" t="s">
        <v>215</v>
      </c>
      <c r="C402" s="467" t="s">
        <v>625</v>
      </c>
      <c r="D402" s="467" t="s">
        <v>720</v>
      </c>
      <c r="E402" s="67" t="s">
        <v>713</v>
      </c>
      <c r="F402" s="67" t="s">
        <v>222</v>
      </c>
      <c r="G402" s="67" t="s">
        <v>533</v>
      </c>
      <c r="H402" s="67" t="s">
        <v>37</v>
      </c>
      <c r="I402" s="67" t="s">
        <v>601</v>
      </c>
      <c r="J402" s="67" t="s">
        <v>179</v>
      </c>
      <c r="K402" s="67">
        <v>4.9000000000000004</v>
      </c>
      <c r="L402" s="299">
        <f t="shared" si="18"/>
        <v>0</v>
      </c>
      <c r="M402" s="221" t="s">
        <v>631</v>
      </c>
      <c r="N402" s="220">
        <f>IF(OR(M402="nio",M402="eigen dienst"),0,IF(M402&gt;0,M402*K402/O402,0))*VLOOKUP(B402,'2-Kosten per locatie'!$A$14:$C$33,3,FALSE)</f>
        <v>0</v>
      </c>
      <c r="O402" s="300">
        <f>IF(OR(M402="nio",M402="eigen dienst"),0,IF(M402&gt;0,VLOOKUP(H402,'3-Productie normen'!A:J,VLOOKUP(M402,'3-Productie normen'!$B$34:$C$35,2,FALSE),FALSE)))</f>
        <v>0</v>
      </c>
      <c r="P402" s="301" t="str">
        <f>VLOOKUP(H402,'3-Productie normen'!A:L,12,FALSE)</f>
        <v>S</v>
      </c>
      <c r="Q402" s="301"/>
      <c r="S402" s="302">
        <f t="shared" si="19"/>
        <v>0</v>
      </c>
    </row>
    <row r="403" spans="1:19" ht="14.15" customHeight="1">
      <c r="A403" s="71">
        <v>403</v>
      </c>
      <c r="B403" s="67" t="s">
        <v>215</v>
      </c>
      <c r="C403" s="467" t="s">
        <v>625</v>
      </c>
      <c r="D403" s="467" t="s">
        <v>720</v>
      </c>
      <c r="E403" s="67" t="s">
        <v>713</v>
      </c>
      <c r="F403" s="67" t="s">
        <v>223</v>
      </c>
      <c r="G403" s="67" t="s">
        <v>534</v>
      </c>
      <c r="H403" s="67" t="s">
        <v>37</v>
      </c>
      <c r="I403" s="67" t="s">
        <v>601</v>
      </c>
      <c r="J403" s="67" t="s">
        <v>179</v>
      </c>
      <c r="K403" s="67">
        <v>4.9000000000000004</v>
      </c>
      <c r="L403" s="299">
        <f t="shared" si="18"/>
        <v>0</v>
      </c>
      <c r="M403" s="221" t="s">
        <v>631</v>
      </c>
      <c r="N403" s="220">
        <f>IF(OR(M403="nio",M403="eigen dienst"),0,IF(M403&gt;0,M403*K403/O403,0))*VLOOKUP(B403,'2-Kosten per locatie'!$A$14:$C$33,3,FALSE)</f>
        <v>0</v>
      </c>
      <c r="O403" s="300">
        <f>IF(OR(M403="nio",M403="eigen dienst"),0,IF(M403&gt;0,VLOOKUP(H403,'3-Productie normen'!A:J,VLOOKUP(M403,'3-Productie normen'!$B$34:$C$35,2,FALSE),FALSE)))</f>
        <v>0</v>
      </c>
      <c r="P403" s="301" t="str">
        <f>VLOOKUP(H403,'3-Productie normen'!A:L,12,FALSE)</f>
        <v>S</v>
      </c>
      <c r="Q403" s="301"/>
      <c r="S403" s="302">
        <f t="shared" si="19"/>
        <v>0</v>
      </c>
    </row>
    <row r="404" spans="1:19" ht="14.15" customHeight="1">
      <c r="A404" s="71">
        <v>404</v>
      </c>
      <c r="B404" s="67" t="s">
        <v>215</v>
      </c>
      <c r="C404" s="467" t="s">
        <v>625</v>
      </c>
      <c r="D404" s="467" t="s">
        <v>720</v>
      </c>
      <c r="E404" s="67" t="s">
        <v>713</v>
      </c>
      <c r="F404" s="67" t="s">
        <v>265</v>
      </c>
      <c r="G404" s="67" t="s">
        <v>515</v>
      </c>
      <c r="H404" s="67" t="s">
        <v>609</v>
      </c>
      <c r="I404" s="67" t="s">
        <v>70</v>
      </c>
      <c r="J404" s="67" t="s">
        <v>70</v>
      </c>
      <c r="K404" s="67">
        <v>57.1</v>
      </c>
      <c r="L404" s="299">
        <f t="shared" si="18"/>
        <v>0</v>
      </c>
      <c r="M404" s="221" t="s">
        <v>631</v>
      </c>
      <c r="N404" s="220">
        <f>IF(OR(M404="nio",M404="eigen dienst"),0,IF(M404&gt;0,M404*K404/O404,0))*VLOOKUP(B404,'2-Kosten per locatie'!$A$14:$C$33,3,FALSE)</f>
        <v>0</v>
      </c>
      <c r="O404" s="300">
        <f>IF(OR(M404="nio",M404="eigen dienst"),0,IF(M404&gt;0,VLOOKUP(H404,'3-Productie normen'!A:J,VLOOKUP(M404,'3-Productie normen'!$B$34:$C$35,2,FALSE),FALSE)))</f>
        <v>0</v>
      </c>
      <c r="P404" s="301" t="str">
        <f>VLOOKUP(H404,'3-Productie normen'!A:L,12,FALSE)</f>
        <v>L</v>
      </c>
      <c r="Q404" s="301"/>
      <c r="S404" s="302">
        <f t="shared" si="19"/>
        <v>0</v>
      </c>
    </row>
    <row r="405" spans="1:19" ht="14.15" customHeight="1">
      <c r="A405" s="71">
        <v>405</v>
      </c>
      <c r="B405" s="67" t="s">
        <v>215</v>
      </c>
      <c r="C405" s="467" t="s">
        <v>625</v>
      </c>
      <c r="D405" s="467" t="s">
        <v>720</v>
      </c>
      <c r="E405" s="67" t="s">
        <v>713</v>
      </c>
      <c r="F405" s="67" t="s">
        <v>224</v>
      </c>
      <c r="G405" s="67" t="s">
        <v>523</v>
      </c>
      <c r="H405" s="67" t="s">
        <v>630</v>
      </c>
      <c r="I405" s="67" t="s">
        <v>70</v>
      </c>
      <c r="J405" s="67" t="s">
        <v>70</v>
      </c>
      <c r="K405" s="67">
        <v>0</v>
      </c>
      <c r="L405" s="299">
        <f t="shared" si="18"/>
        <v>0</v>
      </c>
      <c r="M405" s="221" t="s">
        <v>629</v>
      </c>
      <c r="N405" s="220">
        <f>IF(OR(M405="nio",M405="eigen dienst"),0,IF(M405&gt;0,M405*K405/O405,0))*VLOOKUP(B405,'2-Kosten per locatie'!$A$14:$C$33,3,FALSE)</f>
        <v>0</v>
      </c>
      <c r="O405" s="300">
        <f>IF(OR(M405="nio",M405="eigen dienst"),0,IF(M405&gt;0,VLOOKUP(H405,'3-Productie normen'!A:J,VLOOKUP(M405,'3-Productie normen'!$B$34:$C$35,2,FALSE),FALSE)))</f>
        <v>0</v>
      </c>
      <c r="P405" s="301">
        <f>VLOOKUP(H405,'3-Productie normen'!A:L,12,FALSE)</f>
        <v>0</v>
      </c>
      <c r="Q405" s="301"/>
      <c r="S405" s="302">
        <f t="shared" si="19"/>
        <v>0</v>
      </c>
    </row>
    <row r="406" spans="1:19" ht="14.15" customHeight="1">
      <c r="A406" s="71">
        <v>406</v>
      </c>
      <c r="B406" s="67" t="s">
        <v>215</v>
      </c>
      <c r="C406" s="467" t="s">
        <v>625</v>
      </c>
      <c r="D406" s="467" t="s">
        <v>720</v>
      </c>
      <c r="E406" s="67" t="s">
        <v>713</v>
      </c>
      <c r="F406" s="67" t="s">
        <v>225</v>
      </c>
      <c r="G406" s="67" t="s">
        <v>590</v>
      </c>
      <c r="H406" s="67" t="s">
        <v>44</v>
      </c>
      <c r="I406" s="67" t="s">
        <v>70</v>
      </c>
      <c r="J406" s="67" t="s">
        <v>70</v>
      </c>
      <c r="K406" s="67">
        <v>0</v>
      </c>
      <c r="L406" s="299">
        <f t="shared" si="18"/>
        <v>0</v>
      </c>
      <c r="M406" s="221" t="s">
        <v>631</v>
      </c>
      <c r="N406" s="220">
        <f>IF(OR(M406="nio",M406="eigen dienst"),0,IF(M406&gt;0,M406*K406/O406,0))*VLOOKUP(B406,'2-Kosten per locatie'!$A$14:$C$33,3,FALSE)</f>
        <v>0</v>
      </c>
      <c r="O406" s="300">
        <f>IF(OR(M406="nio",M406="eigen dienst"),0,IF(M406&gt;0,VLOOKUP(H406,'3-Productie normen'!A:J,VLOOKUP(M406,'3-Productie normen'!$B$34:$C$35,2,FALSE),FALSE)))</f>
        <v>0</v>
      </c>
      <c r="P406" s="301" t="str">
        <f>VLOOKUP(H406,'3-Productie normen'!A:L,12,FALSE)</f>
        <v>V</v>
      </c>
      <c r="Q406" s="301"/>
      <c r="S406" s="302">
        <f t="shared" si="19"/>
        <v>0</v>
      </c>
    </row>
    <row r="407" spans="1:19" ht="14.15" customHeight="1">
      <c r="A407" s="71">
        <v>407</v>
      </c>
      <c r="B407" s="67" t="s">
        <v>215</v>
      </c>
      <c r="C407" s="467" t="s">
        <v>625</v>
      </c>
      <c r="D407" s="467" t="s">
        <v>720</v>
      </c>
      <c r="E407" s="67" t="s">
        <v>713</v>
      </c>
      <c r="F407" s="67" t="s">
        <v>226</v>
      </c>
      <c r="G407" s="67" t="s">
        <v>515</v>
      </c>
      <c r="H407" s="67" t="s">
        <v>609</v>
      </c>
      <c r="I407" s="67" t="s">
        <v>70</v>
      </c>
      <c r="J407" s="67" t="s">
        <v>70</v>
      </c>
      <c r="K407" s="67">
        <v>57.5</v>
      </c>
      <c r="L407" s="299">
        <f t="shared" si="18"/>
        <v>0</v>
      </c>
      <c r="M407" s="221" t="s">
        <v>631</v>
      </c>
      <c r="N407" s="220">
        <f>IF(OR(M407="nio",M407="eigen dienst"),0,IF(M407&gt;0,M407*K407/O407,0))*VLOOKUP(B407,'2-Kosten per locatie'!$A$14:$C$33,3,FALSE)</f>
        <v>0</v>
      </c>
      <c r="O407" s="300">
        <f>IF(OR(M407="nio",M407="eigen dienst"),0,IF(M407&gt;0,VLOOKUP(H407,'3-Productie normen'!A:J,VLOOKUP(M407,'3-Productie normen'!$B$34:$C$35,2,FALSE),FALSE)))</f>
        <v>0</v>
      </c>
      <c r="P407" s="301" t="str">
        <f>VLOOKUP(H407,'3-Productie normen'!A:L,12,FALSE)</f>
        <v>L</v>
      </c>
      <c r="Q407" s="301"/>
      <c r="S407" s="302">
        <f t="shared" si="19"/>
        <v>0</v>
      </c>
    </row>
    <row r="408" spans="1:19" ht="14.15" customHeight="1">
      <c r="A408" s="71">
        <v>408</v>
      </c>
      <c r="B408" s="67" t="s">
        <v>215</v>
      </c>
      <c r="C408" s="467" t="s">
        <v>625</v>
      </c>
      <c r="D408" s="467" t="s">
        <v>720</v>
      </c>
      <c r="E408" s="67" t="s">
        <v>713</v>
      </c>
      <c r="F408" s="67" t="s">
        <v>227</v>
      </c>
      <c r="G408" s="67" t="s">
        <v>522</v>
      </c>
      <c r="H408" s="67" t="s">
        <v>44</v>
      </c>
      <c r="I408" s="67" t="s">
        <v>70</v>
      </c>
      <c r="J408" s="67" t="s">
        <v>70</v>
      </c>
      <c r="K408" s="67">
        <v>1</v>
      </c>
      <c r="L408" s="299">
        <f t="shared" si="18"/>
        <v>0</v>
      </c>
      <c r="M408" s="221" t="s">
        <v>631</v>
      </c>
      <c r="N408" s="220">
        <f>IF(OR(M408="nio",M408="eigen dienst"),0,IF(M408&gt;0,M408*K408/O408,0))*VLOOKUP(B408,'2-Kosten per locatie'!$A$14:$C$33,3,FALSE)</f>
        <v>0</v>
      </c>
      <c r="O408" s="300">
        <f>IF(OR(M408="nio",M408="eigen dienst"),0,IF(M408&gt;0,VLOOKUP(H408,'3-Productie normen'!A:J,VLOOKUP(M408,'3-Productie normen'!$B$34:$C$35,2,FALSE),FALSE)))</f>
        <v>0</v>
      </c>
      <c r="P408" s="301" t="str">
        <f>VLOOKUP(H408,'3-Productie normen'!A:L,12,FALSE)</f>
        <v>V</v>
      </c>
      <c r="Q408" s="301"/>
      <c r="S408" s="302">
        <f t="shared" si="19"/>
        <v>0</v>
      </c>
    </row>
    <row r="409" spans="1:19" ht="14.15" customHeight="1">
      <c r="A409" s="71">
        <v>409</v>
      </c>
      <c r="B409" s="67" t="s">
        <v>216</v>
      </c>
      <c r="C409" s="467" t="s">
        <v>626</v>
      </c>
      <c r="D409" s="467" t="s">
        <v>720</v>
      </c>
      <c r="E409" s="67" t="s">
        <v>713</v>
      </c>
      <c r="F409" s="67" t="s">
        <v>220</v>
      </c>
      <c r="G409" s="67" t="s">
        <v>47</v>
      </c>
      <c r="H409" s="67" t="s">
        <v>47</v>
      </c>
      <c r="I409" s="67" t="s">
        <v>70</v>
      </c>
      <c r="J409" s="67" t="s">
        <v>70</v>
      </c>
      <c r="K409" s="67">
        <v>43.5</v>
      </c>
      <c r="L409" s="299">
        <f t="shared" si="18"/>
        <v>0</v>
      </c>
      <c r="M409" s="221" t="s">
        <v>631</v>
      </c>
      <c r="N409" s="220">
        <f>IF(OR(M409="nio",M409="eigen dienst"),0,IF(M409&gt;0,M409*K409/O409,0))*VLOOKUP(B409,'2-Kosten per locatie'!$A$14:$C$33,3,FALSE)</f>
        <v>0</v>
      </c>
      <c r="O409" s="300">
        <f>IF(OR(M409="nio",M409="eigen dienst"),0,IF(M409&gt;0,VLOOKUP(H409,'3-Productie normen'!A:J,VLOOKUP(M409,'3-Productie normen'!$B$34:$C$35,2,FALSE),FALSE)))</f>
        <v>0</v>
      </c>
      <c r="P409" s="301" t="str">
        <f>VLOOKUP(H409,'3-Productie normen'!A:L,12,FALSE)</f>
        <v>V</v>
      </c>
      <c r="Q409" s="301"/>
      <c r="S409" s="302">
        <f t="shared" si="19"/>
        <v>0</v>
      </c>
    </row>
    <row r="410" spans="1:19" ht="14.15" customHeight="1">
      <c r="A410" s="71">
        <v>410</v>
      </c>
      <c r="B410" s="67" t="s">
        <v>216</v>
      </c>
      <c r="C410" s="467" t="s">
        <v>626</v>
      </c>
      <c r="D410" s="467" t="s">
        <v>720</v>
      </c>
      <c r="E410" s="67" t="s">
        <v>713</v>
      </c>
      <c r="F410" s="67" t="s">
        <v>228</v>
      </c>
      <c r="G410" s="67" t="s">
        <v>583</v>
      </c>
      <c r="H410" s="67" t="s">
        <v>44</v>
      </c>
      <c r="I410" s="67" t="s">
        <v>70</v>
      </c>
      <c r="J410" s="67" t="s">
        <v>70</v>
      </c>
      <c r="K410" s="67">
        <v>6</v>
      </c>
      <c r="L410" s="299">
        <f t="shared" si="18"/>
        <v>0</v>
      </c>
      <c r="M410" s="221" t="s">
        <v>631</v>
      </c>
      <c r="N410" s="220">
        <f>IF(OR(M410="nio",M410="eigen dienst"),0,IF(M410&gt;0,M410*K410/O410,0))*VLOOKUP(B410,'2-Kosten per locatie'!$A$14:$C$33,3,FALSE)</f>
        <v>0</v>
      </c>
      <c r="O410" s="300">
        <f>IF(OR(M410="nio",M410="eigen dienst"),0,IF(M410&gt;0,VLOOKUP(H410,'3-Productie normen'!A:J,VLOOKUP(M410,'3-Productie normen'!$B$34:$C$35,2,FALSE),FALSE)))</f>
        <v>0</v>
      </c>
      <c r="P410" s="301" t="str">
        <f>VLOOKUP(H410,'3-Productie normen'!A:L,12,FALSE)</f>
        <v>V</v>
      </c>
      <c r="Q410" s="301"/>
      <c r="S410" s="302">
        <f t="shared" si="19"/>
        <v>0</v>
      </c>
    </row>
    <row r="411" spans="1:19" ht="14.15" customHeight="1">
      <c r="A411" s="71">
        <v>411</v>
      </c>
      <c r="B411" s="67" t="s">
        <v>216</v>
      </c>
      <c r="C411" s="467" t="s">
        <v>626</v>
      </c>
      <c r="D411" s="467" t="s">
        <v>720</v>
      </c>
      <c r="E411" s="67" t="s">
        <v>713</v>
      </c>
      <c r="F411" s="67" t="s">
        <v>229</v>
      </c>
      <c r="G411" s="67" t="s">
        <v>513</v>
      </c>
      <c r="H411" s="67" t="s">
        <v>45</v>
      </c>
      <c r="I411" s="67" t="s">
        <v>70</v>
      </c>
      <c r="J411" s="67" t="s">
        <v>70</v>
      </c>
      <c r="K411" s="67">
        <v>97.5</v>
      </c>
      <c r="L411" s="299">
        <f t="shared" si="18"/>
        <v>0</v>
      </c>
      <c r="M411" s="221" t="s">
        <v>631</v>
      </c>
      <c r="N411" s="220">
        <f>IF(OR(M411="nio",M411="eigen dienst"),0,IF(M411&gt;0,M411*K411/O411,0))*VLOOKUP(B411,'2-Kosten per locatie'!$A$14:$C$33,3,FALSE)</f>
        <v>0</v>
      </c>
      <c r="O411" s="300">
        <f>IF(OR(M411="nio",M411="eigen dienst"),0,IF(M411&gt;0,VLOOKUP(H411,'3-Productie normen'!A:J,VLOOKUP(M411,'3-Productie normen'!$B$34:$C$35,2,FALSE),FALSE)))</f>
        <v>0</v>
      </c>
      <c r="P411" s="301" t="str">
        <f>VLOOKUP(H411,'3-Productie normen'!A:L,12,FALSE)</f>
        <v>L</v>
      </c>
      <c r="Q411" s="301"/>
      <c r="S411" s="302">
        <f t="shared" si="19"/>
        <v>0</v>
      </c>
    </row>
    <row r="412" spans="1:19" ht="14.15" customHeight="1">
      <c r="A412" s="71">
        <v>412</v>
      </c>
      <c r="B412" s="67" t="s">
        <v>216</v>
      </c>
      <c r="C412" s="467" t="s">
        <v>626</v>
      </c>
      <c r="D412" s="467" t="s">
        <v>720</v>
      </c>
      <c r="E412" s="67" t="s">
        <v>713</v>
      </c>
      <c r="F412" s="67" t="s">
        <v>230</v>
      </c>
      <c r="G412" s="67" t="s">
        <v>47</v>
      </c>
      <c r="H412" s="67" t="s">
        <v>47</v>
      </c>
      <c r="I412" s="67" t="s">
        <v>597</v>
      </c>
      <c r="J412" s="67" t="s">
        <v>201</v>
      </c>
      <c r="K412" s="67">
        <v>7.3</v>
      </c>
      <c r="L412" s="299">
        <f t="shared" si="18"/>
        <v>0</v>
      </c>
      <c r="M412" s="221" t="s">
        <v>631</v>
      </c>
      <c r="N412" s="220">
        <f>IF(OR(M412="nio",M412="eigen dienst"),0,IF(M412&gt;0,M412*K412/O412,0))*VLOOKUP(B412,'2-Kosten per locatie'!$A$14:$C$33,3,FALSE)</f>
        <v>0</v>
      </c>
      <c r="O412" s="300">
        <f>IF(OR(M412="nio",M412="eigen dienst"),0,IF(M412&gt;0,VLOOKUP(H412,'3-Productie normen'!A:J,VLOOKUP(M412,'3-Productie normen'!$B$34:$C$35,2,FALSE),FALSE)))</f>
        <v>0</v>
      </c>
      <c r="P412" s="301" t="str">
        <f>VLOOKUP(H412,'3-Productie normen'!A:L,12,FALSE)</f>
        <v>V</v>
      </c>
      <c r="Q412" s="301"/>
      <c r="S412" s="302">
        <f t="shared" si="19"/>
        <v>0</v>
      </c>
    </row>
    <row r="413" spans="1:19" ht="14.15" customHeight="1">
      <c r="A413" s="71">
        <v>413</v>
      </c>
      <c r="B413" s="67" t="s">
        <v>216</v>
      </c>
      <c r="C413" s="467" t="s">
        <v>626</v>
      </c>
      <c r="D413" s="467" t="s">
        <v>720</v>
      </c>
      <c r="E413" s="67" t="s">
        <v>713</v>
      </c>
      <c r="F413" s="67" t="s">
        <v>231</v>
      </c>
      <c r="G413" s="67" t="s">
        <v>515</v>
      </c>
      <c r="H413" s="67" t="s">
        <v>609</v>
      </c>
      <c r="I413" s="67" t="s">
        <v>70</v>
      </c>
      <c r="J413" s="67" t="s">
        <v>70</v>
      </c>
      <c r="K413" s="67">
        <v>58.8</v>
      </c>
      <c r="L413" s="299">
        <f t="shared" si="18"/>
        <v>0</v>
      </c>
      <c r="M413" s="221" t="s">
        <v>631</v>
      </c>
      <c r="N413" s="220">
        <f>IF(OR(M413="nio",M413="eigen dienst"),0,IF(M413&gt;0,M413*K413/O413,0))*VLOOKUP(B413,'2-Kosten per locatie'!$A$14:$C$33,3,FALSE)</f>
        <v>0</v>
      </c>
      <c r="O413" s="300">
        <f>IF(OR(M413="nio",M413="eigen dienst"),0,IF(M413&gt;0,VLOOKUP(H413,'3-Productie normen'!A:J,VLOOKUP(M413,'3-Productie normen'!$B$34:$C$35,2,FALSE),FALSE)))</f>
        <v>0</v>
      </c>
      <c r="P413" s="301" t="str">
        <f>VLOOKUP(H413,'3-Productie normen'!A:L,12,FALSE)</f>
        <v>L</v>
      </c>
      <c r="Q413" s="301"/>
      <c r="S413" s="302">
        <f t="shared" si="19"/>
        <v>0</v>
      </c>
    </row>
    <row r="414" spans="1:19" ht="14.15" customHeight="1">
      <c r="A414" s="71">
        <v>414</v>
      </c>
      <c r="B414" s="67" t="s">
        <v>216</v>
      </c>
      <c r="C414" s="467" t="s">
        <v>626</v>
      </c>
      <c r="D414" s="467" t="s">
        <v>720</v>
      </c>
      <c r="E414" s="67" t="s">
        <v>713</v>
      </c>
      <c r="F414" s="67" t="s">
        <v>232</v>
      </c>
      <c r="G414" s="67" t="s">
        <v>515</v>
      </c>
      <c r="H414" s="67" t="s">
        <v>609</v>
      </c>
      <c r="I414" s="67" t="s">
        <v>70</v>
      </c>
      <c r="J414" s="67" t="s">
        <v>70</v>
      </c>
      <c r="K414" s="67">
        <v>58.8</v>
      </c>
      <c r="L414" s="299">
        <f t="shared" si="18"/>
        <v>0</v>
      </c>
      <c r="M414" s="221" t="s">
        <v>631</v>
      </c>
      <c r="N414" s="220">
        <f>IF(OR(M414="nio",M414="eigen dienst"),0,IF(M414&gt;0,M414*K414/O414,0))*VLOOKUP(B414,'2-Kosten per locatie'!$A$14:$C$33,3,FALSE)</f>
        <v>0</v>
      </c>
      <c r="O414" s="300">
        <f>IF(OR(M414="nio",M414="eigen dienst"),0,IF(M414&gt;0,VLOOKUP(H414,'3-Productie normen'!A:J,VLOOKUP(M414,'3-Productie normen'!$B$34:$C$35,2,FALSE),FALSE)))</f>
        <v>0</v>
      </c>
      <c r="P414" s="301" t="str">
        <f>VLOOKUP(H414,'3-Productie normen'!A:L,12,FALSE)</f>
        <v>L</v>
      </c>
      <c r="Q414" s="301"/>
      <c r="S414" s="302">
        <f t="shared" si="19"/>
        <v>0</v>
      </c>
    </row>
    <row r="415" spans="1:19" ht="14.15" customHeight="1">
      <c r="A415" s="71">
        <v>415</v>
      </c>
      <c r="B415" s="67" t="s">
        <v>216</v>
      </c>
      <c r="C415" s="467" t="s">
        <v>626</v>
      </c>
      <c r="D415" s="467" t="s">
        <v>720</v>
      </c>
      <c r="E415" s="67" t="s">
        <v>713</v>
      </c>
      <c r="F415" s="67" t="s">
        <v>233</v>
      </c>
      <c r="G415" s="67" t="s">
        <v>515</v>
      </c>
      <c r="H415" s="67" t="s">
        <v>609</v>
      </c>
      <c r="I415" s="67" t="s">
        <v>70</v>
      </c>
      <c r="J415" s="67" t="s">
        <v>70</v>
      </c>
      <c r="K415" s="67">
        <v>52</v>
      </c>
      <c r="L415" s="299">
        <f t="shared" si="18"/>
        <v>0</v>
      </c>
      <c r="M415" s="221" t="s">
        <v>631</v>
      </c>
      <c r="N415" s="220">
        <f>IF(OR(M415="nio",M415="eigen dienst"),0,IF(M415&gt;0,M415*K415/O415,0))*VLOOKUP(B415,'2-Kosten per locatie'!$A$14:$C$33,3,FALSE)</f>
        <v>0</v>
      </c>
      <c r="O415" s="300">
        <f>IF(OR(M415="nio",M415="eigen dienst"),0,IF(M415&gt;0,VLOOKUP(H415,'3-Productie normen'!A:J,VLOOKUP(M415,'3-Productie normen'!$B$34:$C$35,2,FALSE),FALSE)))</f>
        <v>0</v>
      </c>
      <c r="P415" s="301" t="str">
        <f>VLOOKUP(H415,'3-Productie normen'!A:L,12,FALSE)</f>
        <v>L</v>
      </c>
      <c r="Q415" s="301"/>
      <c r="S415" s="302">
        <f t="shared" si="19"/>
        <v>0</v>
      </c>
    </row>
    <row r="416" spans="1:19" ht="14.15" customHeight="1">
      <c r="A416" s="71">
        <v>416</v>
      </c>
      <c r="B416" s="67" t="s">
        <v>216</v>
      </c>
      <c r="C416" s="467" t="s">
        <v>626</v>
      </c>
      <c r="D416" s="467" t="s">
        <v>720</v>
      </c>
      <c r="E416" s="67" t="s">
        <v>713</v>
      </c>
      <c r="F416" s="67" t="s">
        <v>234</v>
      </c>
      <c r="G416" s="67" t="s">
        <v>514</v>
      </c>
      <c r="H416" s="67" t="s">
        <v>37</v>
      </c>
      <c r="I416" s="67" t="s">
        <v>601</v>
      </c>
      <c r="J416" s="67" t="s">
        <v>179</v>
      </c>
      <c r="K416" s="67">
        <v>4.5</v>
      </c>
      <c r="L416" s="299">
        <f t="shared" si="18"/>
        <v>0</v>
      </c>
      <c r="M416" s="221" t="s">
        <v>631</v>
      </c>
      <c r="N416" s="220">
        <f>IF(OR(M416="nio",M416="eigen dienst"),0,IF(M416&gt;0,M416*K416/O416,0))*VLOOKUP(B416,'2-Kosten per locatie'!$A$14:$C$33,3,FALSE)</f>
        <v>0</v>
      </c>
      <c r="O416" s="300">
        <f>IF(OR(M416="nio",M416="eigen dienst"),0,IF(M416&gt;0,VLOOKUP(H416,'3-Productie normen'!A:J,VLOOKUP(M416,'3-Productie normen'!$B$34:$C$35,2,FALSE),FALSE)))</f>
        <v>0</v>
      </c>
      <c r="P416" s="301" t="str">
        <f>VLOOKUP(H416,'3-Productie normen'!A:L,12,FALSE)</f>
        <v>S</v>
      </c>
      <c r="Q416" s="301"/>
      <c r="S416" s="302">
        <f t="shared" si="19"/>
        <v>0</v>
      </c>
    </row>
    <row r="417" spans="1:19" ht="14.15" customHeight="1">
      <c r="A417" s="71">
        <v>417</v>
      </c>
      <c r="B417" s="67" t="s">
        <v>216</v>
      </c>
      <c r="C417" s="467" t="s">
        <v>626</v>
      </c>
      <c r="D417" s="467" t="s">
        <v>720</v>
      </c>
      <c r="E417" s="67" t="s">
        <v>713</v>
      </c>
      <c r="F417" s="67" t="s">
        <v>235</v>
      </c>
      <c r="G417" s="67" t="s">
        <v>512</v>
      </c>
      <c r="H417" s="67" t="s">
        <v>39</v>
      </c>
      <c r="I417" s="67" t="s">
        <v>70</v>
      </c>
      <c r="J417" s="56" t="s">
        <v>70</v>
      </c>
      <c r="K417" s="67">
        <v>5.6</v>
      </c>
      <c r="L417" s="299">
        <f t="shared" si="18"/>
        <v>0</v>
      </c>
      <c r="M417" s="221" t="s">
        <v>631</v>
      </c>
      <c r="N417" s="220">
        <f>IF(OR(M417="nio",M417="eigen dienst"),0,IF(M417&gt;0,M417*K417/O417,0))*VLOOKUP(B417,'2-Kosten per locatie'!$A$14:$C$33,3,FALSE)</f>
        <v>0</v>
      </c>
      <c r="O417" s="300">
        <f>IF(OR(M417="nio",M417="eigen dienst"),0,IF(M417&gt;0,VLOOKUP(H417,'3-Productie normen'!A:J,VLOOKUP(M417,'3-Productie normen'!$B$34:$C$35,2,FALSE),FALSE)))</f>
        <v>0</v>
      </c>
      <c r="P417" s="301" t="str">
        <f>VLOOKUP(H417,'3-Productie normen'!A:L,12,FALSE)</f>
        <v>V</v>
      </c>
      <c r="Q417" s="301"/>
      <c r="S417" s="302">
        <f t="shared" si="19"/>
        <v>0</v>
      </c>
    </row>
    <row r="418" spans="1:19" ht="14.15" customHeight="1">
      <c r="A418" s="71">
        <v>418</v>
      </c>
      <c r="B418" s="67" t="s">
        <v>216</v>
      </c>
      <c r="C418" s="467" t="s">
        <v>626</v>
      </c>
      <c r="D418" s="467" t="s">
        <v>720</v>
      </c>
      <c r="E418" s="67" t="s">
        <v>713</v>
      </c>
      <c r="F418" s="67" t="s">
        <v>236</v>
      </c>
      <c r="G418" s="67" t="s">
        <v>518</v>
      </c>
      <c r="H418" s="67" t="s">
        <v>44</v>
      </c>
      <c r="I418" s="67" t="s">
        <v>70</v>
      </c>
      <c r="J418" s="67" t="s">
        <v>70</v>
      </c>
      <c r="K418" s="67">
        <v>6.5</v>
      </c>
      <c r="L418" s="299">
        <f t="shared" si="18"/>
        <v>0</v>
      </c>
      <c r="M418" s="221" t="s">
        <v>631</v>
      </c>
      <c r="N418" s="220">
        <f>IF(OR(M418="nio",M418="eigen dienst"),0,IF(M418&gt;0,M418*K418/O418,0))*VLOOKUP(B418,'2-Kosten per locatie'!$A$14:$C$33,3,FALSE)</f>
        <v>0</v>
      </c>
      <c r="O418" s="300">
        <f>IF(OR(M418="nio",M418="eigen dienst"),0,IF(M418&gt;0,VLOOKUP(H418,'3-Productie normen'!A:J,VLOOKUP(M418,'3-Productie normen'!$B$34:$C$35,2,FALSE),FALSE)))</f>
        <v>0</v>
      </c>
      <c r="P418" s="301" t="str">
        <f>VLOOKUP(H418,'3-Productie normen'!A:L,12,FALSE)</f>
        <v>V</v>
      </c>
      <c r="Q418" s="301"/>
      <c r="S418" s="302">
        <f t="shared" si="19"/>
        <v>0</v>
      </c>
    </row>
    <row r="419" spans="1:19" ht="14.15" customHeight="1">
      <c r="A419" s="71">
        <v>419</v>
      </c>
      <c r="B419" s="67" t="s">
        <v>216</v>
      </c>
      <c r="C419" s="467" t="s">
        <v>626</v>
      </c>
      <c r="D419" s="467" t="s">
        <v>720</v>
      </c>
      <c r="E419" s="67" t="s">
        <v>713</v>
      </c>
      <c r="F419" s="67" t="s">
        <v>237</v>
      </c>
      <c r="G419" s="67" t="s">
        <v>718</v>
      </c>
      <c r="H419" s="67" t="s">
        <v>35</v>
      </c>
      <c r="I419" s="67" t="s">
        <v>70</v>
      </c>
      <c r="J419" s="67" t="s">
        <v>70</v>
      </c>
      <c r="K419" s="67">
        <v>23.3</v>
      </c>
      <c r="L419" s="299">
        <f t="shared" si="18"/>
        <v>0</v>
      </c>
      <c r="M419" s="221" t="s">
        <v>631</v>
      </c>
      <c r="N419" s="220">
        <f>IF(OR(M419="nio",M419="eigen dienst"),0,IF(M419&gt;0,M419*K419/O419,0))*VLOOKUP(B419,'2-Kosten per locatie'!$A$14:$C$33,3,FALSE)</f>
        <v>0</v>
      </c>
      <c r="O419" s="300">
        <f>IF(OR(M419="nio",M419="eigen dienst"),0,IF(M419&gt;0,VLOOKUP(H419,'3-Productie normen'!A:J,VLOOKUP(M419,'3-Productie normen'!$B$34:$C$35,2,FALSE),FALSE)))</f>
        <v>0</v>
      </c>
      <c r="P419" s="301" t="str">
        <f>VLOOKUP(H419,'3-Productie normen'!A:L,12,FALSE)</f>
        <v>B</v>
      </c>
      <c r="Q419" s="301"/>
      <c r="S419" s="302">
        <f t="shared" si="19"/>
        <v>0</v>
      </c>
    </row>
    <row r="420" spans="1:19" ht="14.15" customHeight="1">
      <c r="A420" s="71">
        <v>420</v>
      </c>
      <c r="B420" s="67" t="s">
        <v>216</v>
      </c>
      <c r="C420" s="467" t="s">
        <v>626</v>
      </c>
      <c r="D420" s="467" t="s">
        <v>720</v>
      </c>
      <c r="E420" s="67" t="s">
        <v>713</v>
      </c>
      <c r="F420" s="67" t="s">
        <v>221</v>
      </c>
      <c r="G420" s="67" t="s">
        <v>512</v>
      </c>
      <c r="H420" s="67" t="s">
        <v>39</v>
      </c>
      <c r="I420" s="67" t="s">
        <v>70</v>
      </c>
      <c r="J420" s="67" t="s">
        <v>70</v>
      </c>
      <c r="K420" s="67">
        <v>27.8</v>
      </c>
      <c r="L420" s="299">
        <f t="shared" si="18"/>
        <v>0</v>
      </c>
      <c r="M420" s="221" t="s">
        <v>631</v>
      </c>
      <c r="N420" s="220">
        <f>IF(OR(M420="nio",M420="eigen dienst"),0,IF(M420&gt;0,M420*K420/O420,0))*VLOOKUP(B420,'2-Kosten per locatie'!$A$14:$C$33,3,FALSE)</f>
        <v>0</v>
      </c>
      <c r="O420" s="300">
        <f>IF(OR(M420="nio",M420="eigen dienst"),0,IF(M420&gt;0,VLOOKUP(H420,'3-Productie normen'!A:J,VLOOKUP(M420,'3-Productie normen'!$B$34:$C$35,2,FALSE),FALSE)))</f>
        <v>0</v>
      </c>
      <c r="P420" s="301" t="str">
        <f>VLOOKUP(H420,'3-Productie normen'!A:L,12,FALSE)</f>
        <v>V</v>
      </c>
      <c r="Q420" s="301"/>
      <c r="S420" s="302">
        <f t="shared" si="19"/>
        <v>0</v>
      </c>
    </row>
    <row r="421" spans="1:19" ht="14.15" customHeight="1">
      <c r="A421" s="71">
        <v>421</v>
      </c>
      <c r="B421" s="67" t="s">
        <v>216</v>
      </c>
      <c r="C421" s="467" t="s">
        <v>626</v>
      </c>
      <c r="D421" s="467" t="s">
        <v>720</v>
      </c>
      <c r="E421" s="67" t="s">
        <v>713</v>
      </c>
      <c r="F421" s="67" t="s">
        <v>238</v>
      </c>
      <c r="G421" s="67" t="s">
        <v>591</v>
      </c>
      <c r="H421" s="67" t="s">
        <v>630</v>
      </c>
      <c r="I421" s="67" t="s">
        <v>70</v>
      </c>
      <c r="J421" s="67" t="s">
        <v>70</v>
      </c>
      <c r="K421" s="67">
        <v>6</v>
      </c>
      <c r="L421" s="299">
        <f t="shared" si="18"/>
        <v>0</v>
      </c>
      <c r="M421" s="221" t="s">
        <v>629</v>
      </c>
      <c r="N421" s="220">
        <f>IF(OR(M421="nio",M421="eigen dienst"),0,IF(M421&gt;0,M421*K421/O421,0))*VLOOKUP(B421,'2-Kosten per locatie'!$A$14:$C$33,3,FALSE)</f>
        <v>0</v>
      </c>
      <c r="O421" s="300">
        <f>IF(OR(M421="nio",M421="eigen dienst"),0,IF(M421&gt;0,VLOOKUP(H421,'3-Productie normen'!A:J,VLOOKUP(M421,'3-Productie normen'!$B$34:$C$35,2,FALSE),FALSE)))</f>
        <v>0</v>
      </c>
      <c r="P421" s="301">
        <f>VLOOKUP(H421,'3-Productie normen'!A:L,12,FALSE)</f>
        <v>0</v>
      </c>
      <c r="Q421" s="301"/>
      <c r="S421" s="302">
        <f t="shared" si="19"/>
        <v>0</v>
      </c>
    </row>
    <row r="422" spans="1:19" ht="14.15" customHeight="1">
      <c r="A422" s="71">
        <v>422</v>
      </c>
      <c r="B422" s="67" t="s">
        <v>216</v>
      </c>
      <c r="C422" s="467" t="s">
        <v>626</v>
      </c>
      <c r="D422" s="467" t="s">
        <v>720</v>
      </c>
      <c r="E422" s="67" t="s">
        <v>713</v>
      </c>
      <c r="F422" s="67" t="s">
        <v>239</v>
      </c>
      <c r="G422" s="67" t="s">
        <v>535</v>
      </c>
      <c r="H422" s="67" t="s">
        <v>35</v>
      </c>
      <c r="I422" s="67" t="s">
        <v>70</v>
      </c>
      <c r="J422" s="67" t="s">
        <v>70</v>
      </c>
      <c r="K422" s="67">
        <v>11.7</v>
      </c>
      <c r="L422" s="299">
        <f t="shared" si="18"/>
        <v>0</v>
      </c>
      <c r="M422" s="221" t="s">
        <v>631</v>
      </c>
      <c r="N422" s="220">
        <f>IF(OR(M422="nio",M422="eigen dienst"),0,IF(M422&gt;0,M422*K422/O422,0))*VLOOKUP(B422,'2-Kosten per locatie'!$A$14:$C$33,3,FALSE)</f>
        <v>0</v>
      </c>
      <c r="O422" s="300">
        <f>IF(OR(M422="nio",M422="eigen dienst"),0,IF(M422&gt;0,VLOOKUP(H422,'3-Productie normen'!A:J,VLOOKUP(M422,'3-Productie normen'!$B$34:$C$35,2,FALSE),FALSE)))</f>
        <v>0</v>
      </c>
      <c r="P422" s="301" t="str">
        <f>VLOOKUP(H422,'3-Productie normen'!A:L,12,FALSE)</f>
        <v>B</v>
      </c>
      <c r="Q422" s="301"/>
      <c r="S422" s="302">
        <f t="shared" si="19"/>
        <v>0</v>
      </c>
    </row>
    <row r="423" spans="1:19" ht="14.15" customHeight="1">
      <c r="A423" s="71">
        <v>423</v>
      </c>
      <c r="B423" s="67" t="s">
        <v>216</v>
      </c>
      <c r="C423" s="467" t="s">
        <v>626</v>
      </c>
      <c r="D423" s="467" t="s">
        <v>720</v>
      </c>
      <c r="E423" s="67" t="s">
        <v>713</v>
      </c>
      <c r="F423" s="67" t="s">
        <v>240</v>
      </c>
      <c r="G423" s="67" t="s">
        <v>518</v>
      </c>
      <c r="H423" s="67" t="s">
        <v>44</v>
      </c>
      <c r="I423" s="67" t="s">
        <v>70</v>
      </c>
      <c r="J423" s="67" t="s">
        <v>70</v>
      </c>
      <c r="K423" s="67">
        <v>28.8</v>
      </c>
      <c r="L423" s="299">
        <f t="shared" si="18"/>
        <v>0</v>
      </c>
      <c r="M423" s="221" t="s">
        <v>631</v>
      </c>
      <c r="N423" s="220">
        <f>IF(OR(M423="nio",M423="eigen dienst"),0,IF(M423&gt;0,M423*K423/O423,0))*VLOOKUP(B423,'2-Kosten per locatie'!$A$14:$C$33,3,FALSE)</f>
        <v>0</v>
      </c>
      <c r="O423" s="300">
        <f>IF(OR(M423="nio",M423="eigen dienst"),0,IF(M423&gt;0,VLOOKUP(H423,'3-Productie normen'!A:J,VLOOKUP(M423,'3-Productie normen'!$B$34:$C$35,2,FALSE),FALSE)))</f>
        <v>0</v>
      </c>
      <c r="P423" s="301" t="str">
        <f>VLOOKUP(H423,'3-Productie normen'!A:L,12,FALSE)</f>
        <v>V</v>
      </c>
      <c r="Q423" s="301"/>
      <c r="S423" s="302">
        <f t="shared" si="19"/>
        <v>0</v>
      </c>
    </row>
    <row r="424" spans="1:19" ht="14.15" customHeight="1">
      <c r="A424" s="71">
        <v>424</v>
      </c>
      <c r="B424" s="67" t="s">
        <v>216</v>
      </c>
      <c r="C424" s="467" t="s">
        <v>626</v>
      </c>
      <c r="D424" s="467" t="s">
        <v>720</v>
      </c>
      <c r="E424" s="67" t="s">
        <v>713</v>
      </c>
      <c r="F424" s="67" t="s">
        <v>241</v>
      </c>
      <c r="G424" s="67" t="s">
        <v>589</v>
      </c>
      <c r="H424" s="67" t="s">
        <v>43</v>
      </c>
      <c r="I424" s="67" t="s">
        <v>70</v>
      </c>
      <c r="J424" s="67" t="s">
        <v>70</v>
      </c>
      <c r="K424" s="67">
        <v>48.5</v>
      </c>
      <c r="L424" s="299">
        <f t="shared" si="18"/>
        <v>0</v>
      </c>
      <c r="M424" s="221" t="s">
        <v>631</v>
      </c>
      <c r="N424" s="220">
        <f>IF(OR(M424="nio",M424="eigen dienst"),0,IF(M424&gt;0,M424*K424/O424,0))*VLOOKUP(B424,'2-Kosten per locatie'!$A$14:$C$33,3,FALSE)</f>
        <v>0</v>
      </c>
      <c r="O424" s="300">
        <f>IF(OR(M424="nio",M424="eigen dienst"),0,IF(M424&gt;0,VLOOKUP(H424,'3-Productie normen'!A:J,VLOOKUP(M424,'3-Productie normen'!$B$34:$C$35,2,FALSE),FALSE)))</f>
        <v>0</v>
      </c>
      <c r="P424" s="301" t="str">
        <f>VLOOKUP(H424,'3-Productie normen'!A:L,12,FALSE)</f>
        <v>B</v>
      </c>
      <c r="Q424" s="301"/>
      <c r="S424" s="302">
        <f t="shared" si="19"/>
        <v>0</v>
      </c>
    </row>
    <row r="425" spans="1:19" ht="14.15" customHeight="1">
      <c r="A425" s="71">
        <v>425</v>
      </c>
      <c r="B425" s="67" t="s">
        <v>216</v>
      </c>
      <c r="C425" s="467" t="s">
        <v>626</v>
      </c>
      <c r="D425" s="467" t="s">
        <v>720</v>
      </c>
      <c r="E425" s="67" t="s">
        <v>713</v>
      </c>
      <c r="F425" s="67" t="s">
        <v>242</v>
      </c>
      <c r="G425" s="67" t="s">
        <v>580</v>
      </c>
      <c r="H425" s="67" t="s">
        <v>35</v>
      </c>
      <c r="I425" s="67" t="s">
        <v>70</v>
      </c>
      <c r="J425" s="67" t="s">
        <v>70</v>
      </c>
      <c r="K425" s="67">
        <v>22.2</v>
      </c>
      <c r="L425" s="299">
        <f t="shared" si="18"/>
        <v>0</v>
      </c>
      <c r="M425" s="221" t="s">
        <v>631</v>
      </c>
      <c r="N425" s="220">
        <f>IF(OR(M425="nio",M425="eigen dienst"),0,IF(M425&gt;0,M425*K425/O425,0))*VLOOKUP(B425,'2-Kosten per locatie'!$A$14:$C$33,3,FALSE)</f>
        <v>0</v>
      </c>
      <c r="O425" s="300">
        <f>IF(OR(M425="nio",M425="eigen dienst"),0,IF(M425&gt;0,VLOOKUP(H425,'3-Productie normen'!A:J,VLOOKUP(M425,'3-Productie normen'!$B$34:$C$35,2,FALSE),FALSE)))</f>
        <v>0</v>
      </c>
      <c r="P425" s="301" t="str">
        <f>VLOOKUP(H425,'3-Productie normen'!A:L,12,FALSE)</f>
        <v>B</v>
      </c>
      <c r="Q425" s="301"/>
      <c r="S425" s="302">
        <f t="shared" si="19"/>
        <v>0</v>
      </c>
    </row>
    <row r="426" spans="1:19" ht="14.15" customHeight="1">
      <c r="A426" s="71">
        <v>426</v>
      </c>
      <c r="B426" s="67" t="s">
        <v>216</v>
      </c>
      <c r="C426" s="467" t="s">
        <v>626</v>
      </c>
      <c r="D426" s="467" t="s">
        <v>720</v>
      </c>
      <c r="E426" s="67" t="s">
        <v>713</v>
      </c>
      <c r="F426" s="67" t="s">
        <v>243</v>
      </c>
      <c r="G426" s="67" t="s">
        <v>575</v>
      </c>
      <c r="H426" s="67" t="s">
        <v>35</v>
      </c>
      <c r="I426" s="67" t="s">
        <v>70</v>
      </c>
      <c r="J426" s="67" t="s">
        <v>70</v>
      </c>
      <c r="K426" s="67">
        <v>20.5</v>
      </c>
      <c r="L426" s="299">
        <f t="shared" si="18"/>
        <v>0</v>
      </c>
      <c r="M426" s="221" t="s">
        <v>631</v>
      </c>
      <c r="N426" s="220">
        <f>IF(OR(M426="nio",M426="eigen dienst"),0,IF(M426&gt;0,M426*K426/O426,0))*VLOOKUP(B426,'2-Kosten per locatie'!$A$14:$C$33,3,FALSE)</f>
        <v>0</v>
      </c>
      <c r="O426" s="300">
        <f>IF(OR(M426="nio",M426="eigen dienst"),0,IF(M426&gt;0,VLOOKUP(H426,'3-Productie normen'!A:J,VLOOKUP(M426,'3-Productie normen'!$B$34:$C$35,2,FALSE),FALSE)))</f>
        <v>0</v>
      </c>
      <c r="P426" s="301" t="str">
        <f>VLOOKUP(H426,'3-Productie normen'!A:L,12,FALSE)</f>
        <v>B</v>
      </c>
      <c r="Q426" s="301"/>
      <c r="S426" s="302">
        <f t="shared" si="19"/>
        <v>0</v>
      </c>
    </row>
    <row r="427" spans="1:19" ht="14.15" customHeight="1">
      <c r="A427" s="71">
        <v>427</v>
      </c>
      <c r="B427" s="67" t="s">
        <v>216</v>
      </c>
      <c r="C427" s="467" t="s">
        <v>626</v>
      </c>
      <c r="D427" s="467" t="s">
        <v>720</v>
      </c>
      <c r="E427" s="67" t="s">
        <v>713</v>
      </c>
      <c r="F427" s="67" t="s">
        <v>244</v>
      </c>
      <c r="G427" s="67" t="s">
        <v>592</v>
      </c>
      <c r="H427" s="67" t="s">
        <v>41</v>
      </c>
      <c r="I427" s="67" t="s">
        <v>70</v>
      </c>
      <c r="J427" s="67" t="s">
        <v>70</v>
      </c>
      <c r="K427" s="67">
        <v>98</v>
      </c>
      <c r="L427" s="299">
        <f t="shared" si="18"/>
        <v>0</v>
      </c>
      <c r="M427" s="221" t="s">
        <v>631</v>
      </c>
      <c r="N427" s="220">
        <f>IF(OR(M427="nio",M427="eigen dienst"),0,IF(M427&gt;0,M427*K427/O427,0))*VLOOKUP(B427,'2-Kosten per locatie'!$A$14:$C$33,3,FALSE)</f>
        <v>0</v>
      </c>
      <c r="O427" s="300">
        <f>IF(OR(M427="nio",M427="eigen dienst"),0,IF(M427&gt;0,VLOOKUP(H427,'3-Productie normen'!A:J,VLOOKUP(M427,'3-Productie normen'!$B$34:$C$35,2,FALSE),FALSE)))</f>
        <v>0</v>
      </c>
      <c r="P427" s="301" t="str">
        <f>VLOOKUP(H427,'3-Productie normen'!A:L,12,FALSE)</f>
        <v>V</v>
      </c>
      <c r="Q427" s="301"/>
      <c r="S427" s="302">
        <f t="shared" si="19"/>
        <v>0</v>
      </c>
    </row>
    <row r="428" spans="1:19" ht="14.15" customHeight="1">
      <c r="A428" s="71">
        <v>428</v>
      </c>
      <c r="B428" s="67" t="s">
        <v>216</v>
      </c>
      <c r="C428" s="467" t="s">
        <v>626</v>
      </c>
      <c r="D428" s="467" t="s">
        <v>720</v>
      </c>
      <c r="E428" s="67" t="s">
        <v>713</v>
      </c>
      <c r="F428" s="67" t="s">
        <v>245</v>
      </c>
      <c r="G428" s="67" t="s">
        <v>518</v>
      </c>
      <c r="H428" s="67" t="s">
        <v>44</v>
      </c>
      <c r="I428" s="67" t="s">
        <v>70</v>
      </c>
      <c r="J428" s="67" t="s">
        <v>70</v>
      </c>
      <c r="K428" s="67">
        <v>7.2</v>
      </c>
      <c r="L428" s="299">
        <f t="shared" si="18"/>
        <v>0</v>
      </c>
      <c r="M428" s="221" t="s">
        <v>631</v>
      </c>
      <c r="N428" s="220">
        <f>IF(OR(M428="nio",M428="eigen dienst"),0,IF(M428&gt;0,M428*K428/O428,0))*VLOOKUP(B428,'2-Kosten per locatie'!$A$14:$C$33,3,FALSE)</f>
        <v>0</v>
      </c>
      <c r="O428" s="300">
        <f>IF(OR(M428="nio",M428="eigen dienst"),0,IF(M428&gt;0,VLOOKUP(H428,'3-Productie normen'!A:J,VLOOKUP(M428,'3-Productie normen'!$B$34:$C$35,2,FALSE),FALSE)))</f>
        <v>0</v>
      </c>
      <c r="P428" s="301" t="str">
        <f>VLOOKUP(H428,'3-Productie normen'!A:L,12,FALSE)</f>
        <v>V</v>
      </c>
      <c r="Q428" s="301"/>
      <c r="S428" s="302">
        <f t="shared" si="19"/>
        <v>0</v>
      </c>
    </row>
    <row r="429" spans="1:19" ht="14.15" customHeight="1">
      <c r="A429" s="71">
        <v>429</v>
      </c>
      <c r="B429" s="67" t="s">
        <v>216</v>
      </c>
      <c r="C429" s="467" t="s">
        <v>626</v>
      </c>
      <c r="D429" s="467" t="s">
        <v>720</v>
      </c>
      <c r="E429" s="67" t="s">
        <v>713</v>
      </c>
      <c r="F429" s="67" t="s">
        <v>246</v>
      </c>
      <c r="G429" s="67" t="s">
        <v>514</v>
      </c>
      <c r="H429" s="67" t="s">
        <v>37</v>
      </c>
      <c r="I429" s="67" t="s">
        <v>202</v>
      </c>
      <c r="J429" s="67" t="s">
        <v>179</v>
      </c>
      <c r="K429" s="67">
        <v>10</v>
      </c>
      <c r="L429" s="299">
        <f t="shared" si="18"/>
        <v>0</v>
      </c>
      <c r="M429" s="221" t="s">
        <v>631</v>
      </c>
      <c r="N429" s="220">
        <f>IF(OR(M429="nio",M429="eigen dienst"),0,IF(M429&gt;0,M429*K429/O429,0))*VLOOKUP(B429,'2-Kosten per locatie'!$A$14:$C$33,3,FALSE)</f>
        <v>0</v>
      </c>
      <c r="O429" s="300">
        <f>IF(OR(M429="nio",M429="eigen dienst"),0,IF(M429&gt;0,VLOOKUP(H429,'3-Productie normen'!A:J,VLOOKUP(M429,'3-Productie normen'!$B$34:$C$35,2,FALSE),FALSE)))</f>
        <v>0</v>
      </c>
      <c r="P429" s="301" t="str">
        <f>VLOOKUP(H429,'3-Productie normen'!A:L,12,FALSE)</f>
        <v>S</v>
      </c>
      <c r="Q429" s="301"/>
      <c r="S429" s="302">
        <f t="shared" si="19"/>
        <v>0</v>
      </c>
    </row>
    <row r="430" spans="1:19" ht="14.15" customHeight="1">
      <c r="A430" s="71">
        <v>430</v>
      </c>
      <c r="B430" s="67" t="s">
        <v>216</v>
      </c>
      <c r="C430" s="467" t="s">
        <v>626</v>
      </c>
      <c r="D430" s="467" t="s">
        <v>720</v>
      </c>
      <c r="E430" s="67" t="s">
        <v>713</v>
      </c>
      <c r="F430" s="67" t="s">
        <v>247</v>
      </c>
      <c r="G430" s="67" t="s">
        <v>514</v>
      </c>
      <c r="H430" s="67" t="s">
        <v>37</v>
      </c>
      <c r="I430" s="67" t="s">
        <v>202</v>
      </c>
      <c r="J430" s="67" t="s">
        <v>179</v>
      </c>
      <c r="K430" s="67">
        <v>13</v>
      </c>
      <c r="L430" s="299">
        <f t="shared" si="18"/>
        <v>0</v>
      </c>
      <c r="M430" s="221" t="s">
        <v>631</v>
      </c>
      <c r="N430" s="220">
        <f>IF(OR(M430="nio",M430="eigen dienst"),0,IF(M430&gt;0,M430*K430/O430,0))*VLOOKUP(B430,'2-Kosten per locatie'!$A$14:$C$33,3,FALSE)</f>
        <v>0</v>
      </c>
      <c r="O430" s="300">
        <f>IF(OR(M430="nio",M430="eigen dienst"),0,IF(M430&gt;0,VLOOKUP(H430,'3-Productie normen'!A:J,VLOOKUP(M430,'3-Productie normen'!$B$34:$C$35,2,FALSE),FALSE)))</f>
        <v>0</v>
      </c>
      <c r="P430" s="301" t="str">
        <f>VLOOKUP(H430,'3-Productie normen'!A:L,12,FALSE)</f>
        <v>S</v>
      </c>
      <c r="Q430" s="301"/>
      <c r="S430" s="302">
        <f t="shared" si="19"/>
        <v>0</v>
      </c>
    </row>
    <row r="431" spans="1:19" ht="14.15" customHeight="1">
      <c r="A431" s="71">
        <v>431</v>
      </c>
      <c r="B431" s="67" t="s">
        <v>216</v>
      </c>
      <c r="C431" s="467" t="s">
        <v>626</v>
      </c>
      <c r="D431" s="467" t="s">
        <v>720</v>
      </c>
      <c r="E431" s="67" t="s">
        <v>713</v>
      </c>
      <c r="F431" s="67" t="s">
        <v>222</v>
      </c>
      <c r="G431" s="67" t="s">
        <v>512</v>
      </c>
      <c r="H431" s="67" t="s">
        <v>39</v>
      </c>
      <c r="I431" s="67" t="s">
        <v>70</v>
      </c>
      <c r="J431" s="67" t="s">
        <v>70</v>
      </c>
      <c r="K431" s="67">
        <v>36.4</v>
      </c>
      <c r="L431" s="299">
        <f t="shared" si="18"/>
        <v>0</v>
      </c>
      <c r="M431" s="221" t="s">
        <v>631</v>
      </c>
      <c r="N431" s="220">
        <f>IF(OR(M431="nio",M431="eigen dienst"),0,IF(M431&gt;0,M431*K431/O431,0))*VLOOKUP(B431,'2-Kosten per locatie'!$A$14:$C$33,3,FALSE)</f>
        <v>0</v>
      </c>
      <c r="O431" s="300">
        <f>IF(OR(M431="nio",M431="eigen dienst"),0,IF(M431&gt;0,VLOOKUP(H431,'3-Productie normen'!A:J,VLOOKUP(M431,'3-Productie normen'!$B$34:$C$35,2,FALSE),FALSE)))</f>
        <v>0</v>
      </c>
      <c r="P431" s="301" t="str">
        <f>VLOOKUP(H431,'3-Productie normen'!A:L,12,FALSE)</f>
        <v>V</v>
      </c>
      <c r="Q431" s="301"/>
      <c r="S431" s="302">
        <f t="shared" si="19"/>
        <v>0</v>
      </c>
    </row>
    <row r="432" spans="1:19" ht="14.15" customHeight="1">
      <c r="A432" s="71">
        <v>432</v>
      </c>
      <c r="B432" s="67" t="s">
        <v>216</v>
      </c>
      <c r="C432" s="467" t="s">
        <v>626</v>
      </c>
      <c r="D432" s="467" t="s">
        <v>720</v>
      </c>
      <c r="E432" s="67" t="s">
        <v>713</v>
      </c>
      <c r="F432" s="67" t="s">
        <v>248</v>
      </c>
      <c r="G432" s="67" t="s">
        <v>512</v>
      </c>
      <c r="H432" s="67" t="s">
        <v>39</v>
      </c>
      <c r="I432" s="67" t="s">
        <v>70</v>
      </c>
      <c r="J432" s="67" t="s">
        <v>70</v>
      </c>
      <c r="K432" s="67">
        <v>9.5</v>
      </c>
      <c r="L432" s="299">
        <f t="shared" si="18"/>
        <v>0</v>
      </c>
      <c r="M432" s="221" t="s">
        <v>631</v>
      </c>
      <c r="N432" s="220">
        <f>IF(OR(M432="nio",M432="eigen dienst"),0,IF(M432&gt;0,M432*K432/O432,0))*VLOOKUP(B432,'2-Kosten per locatie'!$A$14:$C$33,3,FALSE)</f>
        <v>0</v>
      </c>
      <c r="O432" s="300">
        <f>IF(OR(M432="nio",M432="eigen dienst"),0,IF(M432&gt;0,VLOOKUP(H432,'3-Productie normen'!A:J,VLOOKUP(M432,'3-Productie normen'!$B$34:$C$35,2,FALSE),FALSE)))</f>
        <v>0</v>
      </c>
      <c r="P432" s="301" t="str">
        <f>VLOOKUP(H432,'3-Productie normen'!A:L,12,FALSE)</f>
        <v>V</v>
      </c>
      <c r="Q432" s="301"/>
      <c r="S432" s="302">
        <f t="shared" si="19"/>
        <v>0</v>
      </c>
    </row>
    <row r="433" spans="1:19" ht="14.15" customHeight="1">
      <c r="A433" s="71">
        <v>433</v>
      </c>
      <c r="B433" s="67" t="s">
        <v>216</v>
      </c>
      <c r="C433" s="467" t="s">
        <v>626</v>
      </c>
      <c r="D433" s="467" t="s">
        <v>720</v>
      </c>
      <c r="E433" s="67" t="s">
        <v>713</v>
      </c>
      <c r="F433" s="67" t="s">
        <v>249</v>
      </c>
      <c r="G433" s="67" t="s">
        <v>566</v>
      </c>
      <c r="H433" s="67" t="s">
        <v>48</v>
      </c>
      <c r="I433" s="67" t="s">
        <v>70</v>
      </c>
      <c r="J433" s="67" t="s">
        <v>70</v>
      </c>
      <c r="K433" s="67">
        <v>9.9</v>
      </c>
      <c r="L433" s="299">
        <f t="shared" si="18"/>
        <v>0</v>
      </c>
      <c r="M433" s="221" t="s">
        <v>631</v>
      </c>
      <c r="N433" s="220">
        <f>IF(OR(M433="nio",M433="eigen dienst"),0,IF(M433&gt;0,M433*K433/O433,0))*VLOOKUP(B433,'2-Kosten per locatie'!$A$14:$C$33,3,FALSE)</f>
        <v>0</v>
      </c>
      <c r="O433" s="300">
        <f>IF(OR(M433="nio",M433="eigen dienst"),0,IF(M433&gt;0,VLOOKUP(H433,'3-Productie normen'!A:J,VLOOKUP(M433,'3-Productie normen'!$B$34:$C$35,2,FALSE),FALSE)))</f>
        <v>0</v>
      </c>
      <c r="P433" s="301" t="str">
        <f>VLOOKUP(H433,'3-Productie normen'!A:L,12,FALSE)</f>
        <v>V</v>
      </c>
      <c r="Q433" s="301"/>
      <c r="S433" s="302">
        <f t="shared" si="19"/>
        <v>0</v>
      </c>
    </row>
    <row r="434" spans="1:19" ht="14.15" customHeight="1">
      <c r="A434" s="71">
        <v>434</v>
      </c>
      <c r="B434" s="67" t="s">
        <v>216</v>
      </c>
      <c r="C434" s="467" t="s">
        <v>626</v>
      </c>
      <c r="D434" s="467" t="s">
        <v>720</v>
      </c>
      <c r="E434" s="67" t="s">
        <v>713</v>
      </c>
      <c r="F434" s="67" t="s">
        <v>223</v>
      </c>
      <c r="G434" s="67" t="s">
        <v>566</v>
      </c>
      <c r="H434" s="67" t="s">
        <v>48</v>
      </c>
      <c r="I434" s="67" t="s">
        <v>202</v>
      </c>
      <c r="J434" s="67" t="s">
        <v>200</v>
      </c>
      <c r="K434" s="67">
        <v>36.299999999999997</v>
      </c>
      <c r="L434" s="299">
        <f t="shared" si="18"/>
        <v>0</v>
      </c>
      <c r="M434" s="221" t="s">
        <v>631</v>
      </c>
      <c r="N434" s="220">
        <f>IF(OR(M434="nio",M434="eigen dienst"),0,IF(M434&gt;0,M434*K434/O434,0))*VLOOKUP(B434,'2-Kosten per locatie'!$A$14:$C$33,3,FALSE)</f>
        <v>0</v>
      </c>
      <c r="O434" s="300">
        <f>IF(OR(M434="nio",M434="eigen dienst"),0,IF(M434&gt;0,VLOOKUP(H434,'3-Productie normen'!A:J,VLOOKUP(M434,'3-Productie normen'!$B$34:$C$35,2,FALSE),FALSE)))</f>
        <v>0</v>
      </c>
      <c r="P434" s="301" t="str">
        <f>VLOOKUP(H434,'3-Productie normen'!A:L,12,FALSE)</f>
        <v>V</v>
      </c>
      <c r="Q434" s="301"/>
      <c r="S434" s="302">
        <f t="shared" si="19"/>
        <v>0</v>
      </c>
    </row>
    <row r="435" spans="1:19" ht="14.15" customHeight="1">
      <c r="A435" s="71">
        <v>435</v>
      </c>
      <c r="B435" s="67" t="s">
        <v>216</v>
      </c>
      <c r="C435" s="467" t="s">
        <v>626</v>
      </c>
      <c r="D435" s="467" t="s">
        <v>720</v>
      </c>
      <c r="E435" s="67" t="s">
        <v>713</v>
      </c>
      <c r="F435" s="67" t="s">
        <v>265</v>
      </c>
      <c r="G435" s="67" t="s">
        <v>512</v>
      </c>
      <c r="H435" s="67" t="s">
        <v>39</v>
      </c>
      <c r="I435" s="67" t="s">
        <v>70</v>
      </c>
      <c r="J435" s="67" t="s">
        <v>70</v>
      </c>
      <c r="K435" s="67">
        <v>50.8</v>
      </c>
      <c r="L435" s="299">
        <f t="shared" si="18"/>
        <v>0</v>
      </c>
      <c r="M435" s="221" t="s">
        <v>631</v>
      </c>
      <c r="N435" s="220">
        <f>IF(OR(M435="nio",M435="eigen dienst"),0,IF(M435&gt;0,M435*K435/O435,0))*VLOOKUP(B435,'2-Kosten per locatie'!$A$14:$C$33,3,FALSE)</f>
        <v>0</v>
      </c>
      <c r="O435" s="300">
        <f>IF(OR(M435="nio",M435="eigen dienst"),0,IF(M435&gt;0,VLOOKUP(H435,'3-Productie normen'!A:J,VLOOKUP(M435,'3-Productie normen'!$B$34:$C$35,2,FALSE),FALSE)))</f>
        <v>0</v>
      </c>
      <c r="P435" s="301" t="str">
        <f>VLOOKUP(H435,'3-Productie normen'!A:L,12,FALSE)</f>
        <v>V</v>
      </c>
      <c r="Q435" s="301"/>
      <c r="S435" s="302">
        <f t="shared" si="19"/>
        <v>0</v>
      </c>
    </row>
    <row r="436" spans="1:19" ht="14.15" customHeight="1">
      <c r="A436" s="71">
        <v>436</v>
      </c>
      <c r="B436" s="67" t="s">
        <v>216</v>
      </c>
      <c r="C436" s="467" t="s">
        <v>626</v>
      </c>
      <c r="D436" s="467" t="s">
        <v>720</v>
      </c>
      <c r="E436" s="67" t="s">
        <v>713</v>
      </c>
      <c r="F436" s="67" t="s">
        <v>224</v>
      </c>
      <c r="G436" s="67" t="s">
        <v>515</v>
      </c>
      <c r="H436" s="67" t="s">
        <v>609</v>
      </c>
      <c r="I436" s="67" t="s">
        <v>70</v>
      </c>
      <c r="J436" s="67" t="s">
        <v>70</v>
      </c>
      <c r="K436" s="67">
        <v>56.5</v>
      </c>
      <c r="L436" s="299">
        <f t="shared" si="18"/>
        <v>0</v>
      </c>
      <c r="M436" s="221" t="s">
        <v>631</v>
      </c>
      <c r="N436" s="220">
        <f>IF(OR(M436="nio",M436="eigen dienst"),0,IF(M436&gt;0,M436*K436/O436,0))*VLOOKUP(B436,'2-Kosten per locatie'!$A$14:$C$33,3,FALSE)</f>
        <v>0</v>
      </c>
      <c r="O436" s="300">
        <f>IF(OR(M436="nio",M436="eigen dienst"),0,IF(M436&gt;0,VLOOKUP(H436,'3-Productie normen'!A:J,VLOOKUP(M436,'3-Productie normen'!$B$34:$C$35,2,FALSE),FALSE)))</f>
        <v>0</v>
      </c>
      <c r="P436" s="301" t="str">
        <f>VLOOKUP(H436,'3-Productie normen'!A:L,12,FALSE)</f>
        <v>L</v>
      </c>
      <c r="Q436" s="301"/>
      <c r="S436" s="302">
        <f t="shared" si="19"/>
        <v>0</v>
      </c>
    </row>
    <row r="437" spans="1:19" ht="14.15" customHeight="1">
      <c r="A437" s="71">
        <v>437</v>
      </c>
      <c r="B437" s="67" t="s">
        <v>216</v>
      </c>
      <c r="C437" s="467" t="s">
        <v>626</v>
      </c>
      <c r="D437" s="467" t="s">
        <v>720</v>
      </c>
      <c r="E437" s="67" t="s">
        <v>713</v>
      </c>
      <c r="F437" s="67" t="s">
        <v>225</v>
      </c>
      <c r="G437" s="67" t="s">
        <v>519</v>
      </c>
      <c r="H437" s="67" t="s">
        <v>41</v>
      </c>
      <c r="I437" s="67" t="s">
        <v>70</v>
      </c>
      <c r="J437" s="67" t="s">
        <v>70</v>
      </c>
      <c r="K437" s="67">
        <v>10.199999999999999</v>
      </c>
      <c r="L437" s="299">
        <f t="shared" si="18"/>
        <v>0</v>
      </c>
      <c r="M437" s="221" t="s">
        <v>631</v>
      </c>
      <c r="N437" s="220">
        <f>IF(OR(M437="nio",M437="eigen dienst"),0,IF(M437&gt;0,M437*K437/O437,0))*VLOOKUP(B437,'2-Kosten per locatie'!$A$14:$C$33,3,FALSE)</f>
        <v>0</v>
      </c>
      <c r="O437" s="300">
        <f>IF(OR(M437="nio",M437="eigen dienst"),0,IF(M437&gt;0,VLOOKUP(H437,'3-Productie normen'!A:J,VLOOKUP(M437,'3-Productie normen'!$B$34:$C$35,2,FALSE),FALSE)))</f>
        <v>0</v>
      </c>
      <c r="P437" s="301" t="str">
        <f>VLOOKUP(H437,'3-Productie normen'!A:L,12,FALSE)</f>
        <v>V</v>
      </c>
      <c r="Q437" s="301"/>
      <c r="S437" s="302">
        <f t="shared" si="19"/>
        <v>0</v>
      </c>
    </row>
    <row r="438" spans="1:19" ht="14.15" customHeight="1">
      <c r="A438" s="71">
        <v>438</v>
      </c>
      <c r="B438" s="67" t="s">
        <v>216</v>
      </c>
      <c r="C438" s="467" t="s">
        <v>626</v>
      </c>
      <c r="D438" s="467" t="s">
        <v>720</v>
      </c>
      <c r="E438" s="67" t="s">
        <v>713</v>
      </c>
      <c r="F438" s="67" t="s">
        <v>226</v>
      </c>
      <c r="G438" s="67" t="s">
        <v>516</v>
      </c>
      <c r="H438" s="67" t="s">
        <v>35</v>
      </c>
      <c r="I438" s="67" t="s">
        <v>70</v>
      </c>
      <c r="J438" s="67" t="s">
        <v>70</v>
      </c>
      <c r="K438" s="67">
        <v>14.7</v>
      </c>
      <c r="L438" s="299">
        <f t="shared" si="18"/>
        <v>0</v>
      </c>
      <c r="M438" s="221" t="s">
        <v>631</v>
      </c>
      <c r="N438" s="220">
        <f>IF(OR(M438="nio",M438="eigen dienst"),0,IF(M438&gt;0,M438*K438/O438,0))*VLOOKUP(B438,'2-Kosten per locatie'!$A$14:$C$33,3,FALSE)</f>
        <v>0</v>
      </c>
      <c r="O438" s="300">
        <f>IF(OR(M438="nio",M438="eigen dienst"),0,IF(M438&gt;0,VLOOKUP(H438,'3-Productie normen'!A:J,VLOOKUP(M438,'3-Productie normen'!$B$34:$C$35,2,FALSE),FALSE)))</f>
        <v>0</v>
      </c>
      <c r="P438" s="301" t="str">
        <f>VLOOKUP(H438,'3-Productie normen'!A:L,12,FALSE)</f>
        <v>B</v>
      </c>
      <c r="Q438" s="301"/>
      <c r="S438" s="302">
        <f t="shared" si="19"/>
        <v>0</v>
      </c>
    </row>
    <row r="439" spans="1:19" ht="14.15" customHeight="1">
      <c r="A439" s="71">
        <v>439</v>
      </c>
      <c r="B439" s="67" t="s">
        <v>216</v>
      </c>
      <c r="C439" s="467" t="s">
        <v>626</v>
      </c>
      <c r="D439" s="467" t="s">
        <v>720</v>
      </c>
      <c r="E439" s="67" t="s">
        <v>713</v>
      </c>
      <c r="F439" s="67" t="s">
        <v>227</v>
      </c>
      <c r="G439" s="67" t="s">
        <v>514</v>
      </c>
      <c r="H439" s="67" t="s">
        <v>37</v>
      </c>
      <c r="I439" s="67" t="s">
        <v>601</v>
      </c>
      <c r="J439" s="67" t="s">
        <v>179</v>
      </c>
      <c r="K439" s="67">
        <v>8.1999999999999993</v>
      </c>
      <c r="L439" s="299">
        <f t="shared" si="18"/>
        <v>0</v>
      </c>
      <c r="M439" s="221" t="s">
        <v>631</v>
      </c>
      <c r="N439" s="220">
        <f>IF(OR(M439="nio",M439="eigen dienst"),0,IF(M439&gt;0,M439*K439/O439,0))*VLOOKUP(B439,'2-Kosten per locatie'!$A$14:$C$33,3,FALSE)</f>
        <v>0</v>
      </c>
      <c r="O439" s="300">
        <f>IF(OR(M439="nio",M439="eigen dienst"),0,IF(M439&gt;0,VLOOKUP(H439,'3-Productie normen'!A:J,VLOOKUP(M439,'3-Productie normen'!$B$34:$C$35,2,FALSE),FALSE)))</f>
        <v>0</v>
      </c>
      <c r="P439" s="301" t="str">
        <f>VLOOKUP(H439,'3-Productie normen'!A:L,12,FALSE)</f>
        <v>S</v>
      </c>
      <c r="Q439" s="301"/>
      <c r="S439" s="302">
        <f t="shared" si="19"/>
        <v>0</v>
      </c>
    </row>
    <row r="440" spans="1:19" ht="14.15" customHeight="1">
      <c r="A440" s="71">
        <v>440</v>
      </c>
      <c r="B440" s="67" t="s">
        <v>216</v>
      </c>
      <c r="C440" s="467" t="s">
        <v>626</v>
      </c>
      <c r="D440" s="467" t="s">
        <v>720</v>
      </c>
      <c r="E440" s="67" t="s">
        <v>714</v>
      </c>
      <c r="F440" s="67" t="s">
        <v>443</v>
      </c>
      <c r="G440" s="67" t="s">
        <v>512</v>
      </c>
      <c r="H440" s="67" t="s">
        <v>39</v>
      </c>
      <c r="I440" s="67" t="s">
        <v>70</v>
      </c>
      <c r="J440" s="67" t="s">
        <v>70</v>
      </c>
      <c r="K440" s="67">
        <v>52.6</v>
      </c>
      <c r="L440" s="299">
        <f t="shared" si="18"/>
        <v>0</v>
      </c>
      <c r="M440" s="221" t="s">
        <v>631</v>
      </c>
      <c r="N440" s="220">
        <f>IF(OR(M440="nio",M440="eigen dienst"),0,IF(M440&gt;0,M440*K440/O440,0))*VLOOKUP(B440,'2-Kosten per locatie'!$A$14:$C$33,3,FALSE)</f>
        <v>0</v>
      </c>
      <c r="O440" s="300">
        <f>IF(OR(M440="nio",M440="eigen dienst"),0,IF(M440&gt;0,VLOOKUP(H440,'3-Productie normen'!A:J,VLOOKUP(M440,'3-Productie normen'!$B$34:$C$35,2,FALSE),FALSE)))</f>
        <v>0</v>
      </c>
      <c r="P440" s="301" t="str">
        <f>VLOOKUP(H440,'3-Productie normen'!A:L,12,FALSE)</f>
        <v>V</v>
      </c>
      <c r="Q440" s="301"/>
      <c r="S440" s="302">
        <f t="shared" si="19"/>
        <v>0</v>
      </c>
    </row>
    <row r="441" spans="1:19" ht="14.15" customHeight="1">
      <c r="A441" s="71">
        <v>441</v>
      </c>
      <c r="B441" s="67" t="s">
        <v>216</v>
      </c>
      <c r="C441" s="467" t="s">
        <v>626</v>
      </c>
      <c r="D441" s="467" t="s">
        <v>720</v>
      </c>
      <c r="E441" s="67" t="s">
        <v>714</v>
      </c>
      <c r="F441" s="67" t="s">
        <v>308</v>
      </c>
      <c r="G441" s="67" t="s">
        <v>515</v>
      </c>
      <c r="H441" s="67" t="s">
        <v>609</v>
      </c>
      <c r="I441" s="67" t="s">
        <v>70</v>
      </c>
      <c r="J441" s="67" t="s">
        <v>70</v>
      </c>
      <c r="K441" s="67">
        <v>48.8</v>
      </c>
      <c r="L441" s="299">
        <f t="shared" si="18"/>
        <v>0</v>
      </c>
      <c r="M441" s="221" t="s">
        <v>631</v>
      </c>
      <c r="N441" s="220">
        <f>IF(OR(M441="nio",M441="eigen dienst"),0,IF(M441&gt;0,M441*K441/O441,0))*VLOOKUP(B441,'2-Kosten per locatie'!$A$14:$C$33,3,FALSE)</f>
        <v>0</v>
      </c>
      <c r="O441" s="300">
        <f>IF(OR(M441="nio",M441="eigen dienst"),0,IF(M441&gt;0,VLOOKUP(H441,'3-Productie normen'!A:J,VLOOKUP(M441,'3-Productie normen'!$B$34:$C$35,2,FALSE),FALSE)))</f>
        <v>0</v>
      </c>
      <c r="P441" s="301" t="str">
        <f>VLOOKUP(H441,'3-Productie normen'!A:L,12,FALSE)</f>
        <v>L</v>
      </c>
      <c r="Q441" s="301"/>
      <c r="S441" s="302">
        <f t="shared" si="19"/>
        <v>0</v>
      </c>
    </row>
    <row r="442" spans="1:19" ht="14.15" customHeight="1">
      <c r="A442" s="71">
        <v>442</v>
      </c>
      <c r="B442" s="67" t="s">
        <v>216</v>
      </c>
      <c r="C442" s="467" t="s">
        <v>626</v>
      </c>
      <c r="D442" s="467" t="s">
        <v>720</v>
      </c>
      <c r="E442" s="67" t="s">
        <v>714</v>
      </c>
      <c r="F442" s="67" t="s">
        <v>506</v>
      </c>
      <c r="G442" s="67" t="s">
        <v>515</v>
      </c>
      <c r="H442" s="67" t="s">
        <v>609</v>
      </c>
      <c r="I442" s="67" t="s">
        <v>70</v>
      </c>
      <c r="J442" s="67" t="s">
        <v>70</v>
      </c>
      <c r="K442" s="67">
        <v>60.2</v>
      </c>
      <c r="L442" s="299">
        <f t="shared" si="18"/>
        <v>0</v>
      </c>
      <c r="M442" s="221" t="s">
        <v>631</v>
      </c>
      <c r="N442" s="220">
        <f>IF(OR(M442="nio",M442="eigen dienst"),0,IF(M442&gt;0,M442*K442/O442,0))*VLOOKUP(B442,'2-Kosten per locatie'!$A$14:$C$33,3,FALSE)</f>
        <v>0</v>
      </c>
      <c r="O442" s="300">
        <f>IF(OR(M442="nio",M442="eigen dienst"),0,IF(M442&gt;0,VLOOKUP(H442,'3-Productie normen'!A:J,VLOOKUP(M442,'3-Productie normen'!$B$34:$C$35,2,FALSE),FALSE)))</f>
        <v>0</v>
      </c>
      <c r="P442" s="301" t="str">
        <f>VLOOKUP(H442,'3-Productie normen'!A:L,12,FALSE)</f>
        <v>L</v>
      </c>
      <c r="Q442" s="301"/>
      <c r="S442" s="302">
        <f t="shared" si="19"/>
        <v>0</v>
      </c>
    </row>
    <row r="443" spans="1:19" ht="14.15" customHeight="1">
      <c r="A443" s="71">
        <v>443</v>
      </c>
      <c r="B443" s="67" t="s">
        <v>216</v>
      </c>
      <c r="C443" s="467" t="s">
        <v>626</v>
      </c>
      <c r="D443" s="467" t="s">
        <v>720</v>
      </c>
      <c r="E443" s="67" t="s">
        <v>714</v>
      </c>
      <c r="F443" s="67" t="s">
        <v>507</v>
      </c>
      <c r="G443" s="67" t="s">
        <v>515</v>
      </c>
      <c r="H443" s="67" t="s">
        <v>609</v>
      </c>
      <c r="I443" s="67" t="s">
        <v>70</v>
      </c>
      <c r="J443" s="67" t="s">
        <v>70</v>
      </c>
      <c r="K443" s="67">
        <v>32</v>
      </c>
      <c r="L443" s="299">
        <f t="shared" si="18"/>
        <v>0</v>
      </c>
      <c r="M443" s="221" t="s">
        <v>631</v>
      </c>
      <c r="N443" s="220">
        <f>IF(OR(M443="nio",M443="eigen dienst"),0,IF(M443&gt;0,M443*K443/O443,0))*VLOOKUP(B443,'2-Kosten per locatie'!$A$14:$C$33,3,FALSE)</f>
        <v>0</v>
      </c>
      <c r="O443" s="300">
        <f>IF(OR(M443="nio",M443="eigen dienst"),0,IF(M443&gt;0,VLOOKUP(H443,'3-Productie normen'!A:J,VLOOKUP(M443,'3-Productie normen'!$B$34:$C$35,2,FALSE),FALSE)))</f>
        <v>0</v>
      </c>
      <c r="P443" s="301" t="str">
        <f>VLOOKUP(H443,'3-Productie normen'!A:L,12,FALSE)</f>
        <v>L</v>
      </c>
      <c r="Q443" s="301"/>
      <c r="S443" s="302">
        <f t="shared" si="19"/>
        <v>0</v>
      </c>
    </row>
    <row r="444" spans="1:19" ht="14.15" customHeight="1">
      <c r="A444" s="71">
        <v>444</v>
      </c>
      <c r="B444" s="67" t="s">
        <v>216</v>
      </c>
      <c r="C444" s="467" t="s">
        <v>626</v>
      </c>
      <c r="D444" s="467" t="s">
        <v>720</v>
      </c>
      <c r="E444" s="67" t="s">
        <v>714</v>
      </c>
      <c r="F444" s="67" t="s">
        <v>310</v>
      </c>
      <c r="G444" s="67" t="s">
        <v>518</v>
      </c>
      <c r="H444" s="67" t="s">
        <v>44</v>
      </c>
      <c r="I444" s="67" t="s">
        <v>70</v>
      </c>
      <c r="J444" s="67" t="s">
        <v>70</v>
      </c>
      <c r="K444" s="67">
        <v>7</v>
      </c>
      <c r="L444" s="299">
        <f t="shared" si="18"/>
        <v>0</v>
      </c>
      <c r="M444" s="221" t="s">
        <v>631</v>
      </c>
      <c r="N444" s="220">
        <f>IF(OR(M444="nio",M444="eigen dienst"),0,IF(M444&gt;0,M444*K444/O444,0))*VLOOKUP(B444,'2-Kosten per locatie'!$A$14:$C$33,3,FALSE)</f>
        <v>0</v>
      </c>
      <c r="O444" s="300">
        <f>IF(OR(M444="nio",M444="eigen dienst"),0,IF(M444&gt;0,VLOOKUP(H444,'3-Productie normen'!A:J,VLOOKUP(M444,'3-Productie normen'!$B$34:$C$35,2,FALSE),FALSE)))</f>
        <v>0</v>
      </c>
      <c r="P444" s="301" t="str">
        <f>VLOOKUP(H444,'3-Productie normen'!A:L,12,FALSE)</f>
        <v>V</v>
      </c>
      <c r="Q444" s="301"/>
      <c r="S444" s="302">
        <f t="shared" si="19"/>
        <v>0</v>
      </c>
    </row>
    <row r="445" spans="1:19" ht="14.15" customHeight="1">
      <c r="A445" s="71">
        <v>445</v>
      </c>
      <c r="B445" s="67" t="s">
        <v>216</v>
      </c>
      <c r="C445" s="467" t="s">
        <v>626</v>
      </c>
      <c r="D445" s="467" t="s">
        <v>720</v>
      </c>
      <c r="E445" s="67" t="s">
        <v>714</v>
      </c>
      <c r="F445" s="67" t="s">
        <v>311</v>
      </c>
      <c r="G445" s="67" t="s">
        <v>514</v>
      </c>
      <c r="H445" s="67" t="s">
        <v>37</v>
      </c>
      <c r="I445" s="67" t="s">
        <v>202</v>
      </c>
      <c r="J445" s="67" t="s">
        <v>179</v>
      </c>
      <c r="K445" s="67">
        <v>6.7</v>
      </c>
      <c r="L445" s="299">
        <f t="shared" si="18"/>
        <v>0</v>
      </c>
      <c r="M445" s="221" t="s">
        <v>631</v>
      </c>
      <c r="N445" s="220">
        <f>IF(OR(M445="nio",M445="eigen dienst"),0,IF(M445&gt;0,M445*K445/O445,0))*VLOOKUP(B445,'2-Kosten per locatie'!$A$14:$C$33,3,FALSE)</f>
        <v>0</v>
      </c>
      <c r="O445" s="300">
        <f>IF(OR(M445="nio",M445="eigen dienst"),0,IF(M445&gt;0,VLOOKUP(H445,'3-Productie normen'!A:J,VLOOKUP(M445,'3-Productie normen'!$B$34:$C$35,2,FALSE),FALSE)))</f>
        <v>0</v>
      </c>
      <c r="P445" s="301" t="str">
        <f>VLOOKUP(H445,'3-Productie normen'!A:L,12,FALSE)</f>
        <v>S</v>
      </c>
      <c r="Q445" s="301"/>
      <c r="S445" s="302">
        <f t="shared" si="19"/>
        <v>0</v>
      </c>
    </row>
    <row r="446" spans="1:19" ht="14.15" customHeight="1">
      <c r="A446" s="71">
        <v>446</v>
      </c>
      <c r="B446" s="67" t="s">
        <v>216</v>
      </c>
      <c r="C446" s="467" t="s">
        <v>626</v>
      </c>
      <c r="D446" s="467" t="s">
        <v>720</v>
      </c>
      <c r="E446" s="67" t="s">
        <v>714</v>
      </c>
      <c r="F446" s="67" t="s">
        <v>312</v>
      </c>
      <c r="G446" s="67" t="s">
        <v>523</v>
      </c>
      <c r="H446" s="67" t="s">
        <v>630</v>
      </c>
      <c r="I446" s="67" t="s">
        <v>70</v>
      </c>
      <c r="J446" s="67" t="s">
        <v>70</v>
      </c>
      <c r="K446" s="67">
        <v>6.8</v>
      </c>
      <c r="L446" s="299">
        <f t="shared" si="18"/>
        <v>0</v>
      </c>
      <c r="M446" s="221" t="s">
        <v>629</v>
      </c>
      <c r="N446" s="220">
        <f>IF(OR(M446="nio",M446="eigen dienst"),0,IF(M446&gt;0,M446*K446/O446,0))*VLOOKUP(B446,'2-Kosten per locatie'!$A$14:$C$33,3,FALSE)</f>
        <v>0</v>
      </c>
      <c r="O446" s="300">
        <f>IF(OR(M446="nio",M446="eigen dienst"),0,IF(M446&gt;0,VLOOKUP(H446,'3-Productie normen'!A:J,VLOOKUP(M446,'3-Productie normen'!$B$34:$C$35,2,FALSE),FALSE)))</f>
        <v>0</v>
      </c>
      <c r="P446" s="301">
        <f>VLOOKUP(H446,'3-Productie normen'!A:L,12,FALSE)</f>
        <v>0</v>
      </c>
      <c r="Q446" s="301"/>
      <c r="S446" s="302">
        <f t="shared" si="19"/>
        <v>0</v>
      </c>
    </row>
    <row r="447" spans="1:19" ht="14.15" customHeight="1">
      <c r="A447" s="71">
        <v>447</v>
      </c>
      <c r="B447" s="67" t="s">
        <v>216</v>
      </c>
      <c r="C447" s="467" t="s">
        <v>626</v>
      </c>
      <c r="D447" s="467" t="s">
        <v>720</v>
      </c>
      <c r="E447" s="67" t="s">
        <v>714</v>
      </c>
      <c r="F447" s="67" t="s">
        <v>313</v>
      </c>
      <c r="G447" s="67" t="s">
        <v>512</v>
      </c>
      <c r="H447" s="67" t="s">
        <v>39</v>
      </c>
      <c r="I447" s="67" t="s">
        <v>70</v>
      </c>
      <c r="J447" s="67" t="s">
        <v>70</v>
      </c>
      <c r="K447" s="67">
        <v>12.8</v>
      </c>
      <c r="L447" s="299">
        <f t="shared" si="18"/>
        <v>0</v>
      </c>
      <c r="M447" s="221" t="s">
        <v>631</v>
      </c>
      <c r="N447" s="220">
        <f>IF(OR(M447="nio",M447="eigen dienst"),0,IF(M447&gt;0,M447*K447/O447,0))*VLOOKUP(B447,'2-Kosten per locatie'!$A$14:$C$33,3,FALSE)</f>
        <v>0</v>
      </c>
      <c r="O447" s="300">
        <f>IF(OR(M447="nio",M447="eigen dienst"),0,IF(M447&gt;0,VLOOKUP(H447,'3-Productie normen'!A:J,VLOOKUP(M447,'3-Productie normen'!$B$34:$C$35,2,FALSE),FALSE)))</f>
        <v>0</v>
      </c>
      <c r="P447" s="301" t="str">
        <f>VLOOKUP(H447,'3-Productie normen'!A:L,12,FALSE)</f>
        <v>V</v>
      </c>
      <c r="Q447" s="301"/>
      <c r="S447" s="302">
        <f t="shared" si="19"/>
        <v>0</v>
      </c>
    </row>
    <row r="448" spans="1:19" ht="14.15" customHeight="1">
      <c r="A448" s="71">
        <v>448</v>
      </c>
      <c r="B448" s="67" t="s">
        <v>216</v>
      </c>
      <c r="C448" s="467" t="s">
        <v>626</v>
      </c>
      <c r="D448" s="467" t="s">
        <v>720</v>
      </c>
      <c r="E448" s="67" t="s">
        <v>714</v>
      </c>
      <c r="F448" s="67" t="s">
        <v>314</v>
      </c>
      <c r="G448" s="67" t="s">
        <v>514</v>
      </c>
      <c r="H448" s="67" t="s">
        <v>37</v>
      </c>
      <c r="I448" s="67" t="s">
        <v>202</v>
      </c>
      <c r="J448" s="67" t="s">
        <v>179</v>
      </c>
      <c r="K448" s="67">
        <v>7</v>
      </c>
      <c r="L448" s="299">
        <f t="shared" si="18"/>
        <v>0</v>
      </c>
      <c r="M448" s="221" t="s">
        <v>631</v>
      </c>
      <c r="N448" s="220">
        <f>IF(OR(M448="nio",M448="eigen dienst"),0,IF(M448&gt;0,M448*K448/O448,0))*VLOOKUP(B448,'2-Kosten per locatie'!$A$14:$C$33,3,FALSE)</f>
        <v>0</v>
      </c>
      <c r="O448" s="300">
        <f>IF(OR(M448="nio",M448="eigen dienst"),0,IF(M448&gt;0,VLOOKUP(H448,'3-Productie normen'!A:J,VLOOKUP(M448,'3-Productie normen'!$B$34:$C$35,2,FALSE),FALSE)))</f>
        <v>0</v>
      </c>
      <c r="P448" s="301" t="str">
        <f>VLOOKUP(H448,'3-Productie normen'!A:L,12,FALSE)</f>
        <v>S</v>
      </c>
      <c r="Q448" s="301"/>
      <c r="S448" s="302">
        <f t="shared" si="19"/>
        <v>0</v>
      </c>
    </row>
    <row r="449" spans="1:19" ht="14.15" customHeight="1">
      <c r="A449" s="71">
        <v>449</v>
      </c>
      <c r="B449" s="67" t="s">
        <v>216</v>
      </c>
      <c r="C449" s="467" t="s">
        <v>626</v>
      </c>
      <c r="D449" s="467" t="s">
        <v>720</v>
      </c>
      <c r="E449" s="67" t="s">
        <v>714</v>
      </c>
      <c r="F449" s="67" t="s">
        <v>315</v>
      </c>
      <c r="G449" s="67" t="s">
        <v>512</v>
      </c>
      <c r="H449" s="67" t="s">
        <v>39</v>
      </c>
      <c r="I449" s="67" t="s">
        <v>70</v>
      </c>
      <c r="J449" s="67" t="s">
        <v>70</v>
      </c>
      <c r="K449" s="67">
        <v>21.2</v>
      </c>
      <c r="L449" s="299">
        <f t="shared" si="18"/>
        <v>0</v>
      </c>
      <c r="M449" s="221" t="s">
        <v>631</v>
      </c>
      <c r="N449" s="220">
        <f>IF(OR(M449="nio",M449="eigen dienst"),0,IF(M449&gt;0,M449*K449/O449,0))*VLOOKUP(B449,'2-Kosten per locatie'!$A$14:$C$33,3,FALSE)</f>
        <v>0</v>
      </c>
      <c r="O449" s="300">
        <f>IF(OR(M449="nio",M449="eigen dienst"),0,IF(M449&gt;0,VLOOKUP(H449,'3-Productie normen'!A:J,VLOOKUP(M449,'3-Productie normen'!$B$34:$C$35,2,FALSE),FALSE)))</f>
        <v>0</v>
      </c>
      <c r="P449" s="301" t="str">
        <f>VLOOKUP(H449,'3-Productie normen'!A:L,12,FALSE)</f>
        <v>V</v>
      </c>
      <c r="Q449" s="301"/>
      <c r="S449" s="302">
        <f t="shared" si="19"/>
        <v>0</v>
      </c>
    </row>
    <row r="450" spans="1:19" ht="14.15" customHeight="1">
      <c r="A450" s="71">
        <v>450</v>
      </c>
      <c r="B450" s="67" t="s">
        <v>216</v>
      </c>
      <c r="C450" s="467" t="s">
        <v>626</v>
      </c>
      <c r="D450" s="467" t="s">
        <v>720</v>
      </c>
      <c r="E450" s="67" t="s">
        <v>714</v>
      </c>
      <c r="F450" s="67" t="s">
        <v>316</v>
      </c>
      <c r="G450" s="67" t="s">
        <v>514</v>
      </c>
      <c r="H450" s="67" t="s">
        <v>37</v>
      </c>
      <c r="I450" s="67" t="s">
        <v>70</v>
      </c>
      <c r="J450" s="67" t="s">
        <v>70</v>
      </c>
      <c r="K450" s="67">
        <v>1.8</v>
      </c>
      <c r="L450" s="299">
        <f t="shared" si="18"/>
        <v>0</v>
      </c>
      <c r="M450" s="221" t="s">
        <v>631</v>
      </c>
      <c r="N450" s="220">
        <f>IF(OR(M450="nio",M450="eigen dienst"),0,IF(M450&gt;0,M450*K450/O450,0))*VLOOKUP(B450,'2-Kosten per locatie'!$A$14:$C$33,3,FALSE)</f>
        <v>0</v>
      </c>
      <c r="O450" s="300">
        <f>IF(OR(M450="nio",M450="eigen dienst"),0,IF(M450&gt;0,VLOOKUP(H450,'3-Productie normen'!A:J,VLOOKUP(M450,'3-Productie normen'!$B$34:$C$35,2,FALSE),FALSE)))</f>
        <v>0</v>
      </c>
      <c r="P450" s="301" t="str">
        <f>VLOOKUP(H450,'3-Productie normen'!A:L,12,FALSE)</f>
        <v>S</v>
      </c>
      <c r="Q450" s="301"/>
      <c r="S450" s="302">
        <f t="shared" si="19"/>
        <v>0</v>
      </c>
    </row>
    <row r="451" spans="1:19" ht="14.15" customHeight="1">
      <c r="A451" s="71">
        <v>451</v>
      </c>
      <c r="B451" s="67" t="s">
        <v>216</v>
      </c>
      <c r="C451" s="467" t="s">
        <v>626</v>
      </c>
      <c r="D451" s="467" t="s">
        <v>720</v>
      </c>
      <c r="E451" s="67" t="s">
        <v>714</v>
      </c>
      <c r="F451" s="67" t="s">
        <v>317</v>
      </c>
      <c r="G451" s="67" t="s">
        <v>518</v>
      </c>
      <c r="H451" s="67" t="s">
        <v>44</v>
      </c>
      <c r="I451" s="67" t="s">
        <v>70</v>
      </c>
      <c r="J451" s="67" t="s">
        <v>70</v>
      </c>
      <c r="K451" s="67"/>
      <c r="L451" s="299">
        <f t="shared" si="18"/>
        <v>0</v>
      </c>
      <c r="M451" s="221" t="s">
        <v>631</v>
      </c>
      <c r="N451" s="220">
        <f>IF(OR(M451="nio",M451="eigen dienst"),0,IF(M451&gt;0,M451*K451/O451,0))*VLOOKUP(B451,'2-Kosten per locatie'!$A$14:$C$33,3,FALSE)</f>
        <v>0</v>
      </c>
      <c r="O451" s="300">
        <f>IF(OR(M451="nio",M451="eigen dienst"),0,IF(M451&gt;0,VLOOKUP(H451,'3-Productie normen'!A:J,VLOOKUP(M451,'3-Productie normen'!$B$34:$C$35,2,FALSE),FALSE)))</f>
        <v>0</v>
      </c>
      <c r="P451" s="301" t="str">
        <f>VLOOKUP(H451,'3-Productie normen'!A:L,12,FALSE)</f>
        <v>V</v>
      </c>
      <c r="Q451" s="301"/>
      <c r="S451" s="302">
        <f t="shared" si="19"/>
        <v>0</v>
      </c>
    </row>
    <row r="452" spans="1:19" ht="14.15" customHeight="1">
      <c r="A452" s="71">
        <v>452</v>
      </c>
      <c r="B452" s="67" t="s">
        <v>216</v>
      </c>
      <c r="C452" s="467" t="s">
        <v>626</v>
      </c>
      <c r="D452" s="467" t="s">
        <v>720</v>
      </c>
      <c r="E452" s="67" t="s">
        <v>714</v>
      </c>
      <c r="F452" s="67" t="s">
        <v>444</v>
      </c>
      <c r="G452" s="67" t="s">
        <v>514</v>
      </c>
      <c r="H452" s="67" t="s">
        <v>37</v>
      </c>
      <c r="I452" s="67" t="s">
        <v>601</v>
      </c>
      <c r="J452" s="67" t="s">
        <v>179</v>
      </c>
      <c r="K452" s="67">
        <v>7.3</v>
      </c>
      <c r="L452" s="299">
        <f t="shared" si="18"/>
        <v>0</v>
      </c>
      <c r="M452" s="221" t="s">
        <v>631</v>
      </c>
      <c r="N452" s="220">
        <f>IF(OR(M452="nio",M452="eigen dienst"),0,IF(M452&gt;0,M452*K452/O452,0))*VLOOKUP(B452,'2-Kosten per locatie'!$A$14:$C$33,3,FALSE)</f>
        <v>0</v>
      </c>
      <c r="O452" s="300">
        <f>IF(OR(M452="nio",M452="eigen dienst"),0,IF(M452&gt;0,VLOOKUP(H452,'3-Productie normen'!A:J,VLOOKUP(M452,'3-Productie normen'!$B$34:$C$35,2,FALSE),FALSE)))</f>
        <v>0</v>
      </c>
      <c r="P452" s="301" t="str">
        <f>VLOOKUP(H452,'3-Productie normen'!A:L,12,FALSE)</f>
        <v>S</v>
      </c>
      <c r="Q452" s="301"/>
      <c r="S452" s="302">
        <f t="shared" si="19"/>
        <v>0</v>
      </c>
    </row>
    <row r="453" spans="1:19" ht="14.15" customHeight="1">
      <c r="A453" s="71">
        <v>453</v>
      </c>
      <c r="B453" s="67" t="s">
        <v>216</v>
      </c>
      <c r="C453" s="467" t="s">
        <v>626</v>
      </c>
      <c r="D453" s="467" t="s">
        <v>720</v>
      </c>
      <c r="E453" s="67" t="s">
        <v>714</v>
      </c>
      <c r="F453" s="67" t="s">
        <v>318</v>
      </c>
      <c r="G453" s="67" t="s">
        <v>514</v>
      </c>
      <c r="H453" s="67" t="s">
        <v>37</v>
      </c>
      <c r="I453" s="67" t="s">
        <v>202</v>
      </c>
      <c r="J453" s="67" t="s">
        <v>179</v>
      </c>
      <c r="K453" s="67">
        <v>6</v>
      </c>
      <c r="L453" s="299">
        <f t="shared" si="18"/>
        <v>0</v>
      </c>
      <c r="M453" s="221" t="s">
        <v>631</v>
      </c>
      <c r="N453" s="220">
        <f>IF(OR(M453="nio",M453="eigen dienst"),0,IF(M453&gt;0,M453*K453/O453,0))*VLOOKUP(B453,'2-Kosten per locatie'!$A$14:$C$33,3,FALSE)</f>
        <v>0</v>
      </c>
      <c r="O453" s="300">
        <f>IF(OR(M453="nio",M453="eigen dienst"),0,IF(M453&gt;0,VLOOKUP(H453,'3-Productie normen'!A:J,VLOOKUP(M453,'3-Productie normen'!$B$34:$C$35,2,FALSE),FALSE)))</f>
        <v>0</v>
      </c>
      <c r="P453" s="301" t="str">
        <f>VLOOKUP(H453,'3-Productie normen'!A:L,12,FALSE)</f>
        <v>S</v>
      </c>
      <c r="Q453" s="301"/>
      <c r="S453" s="302">
        <f t="shared" si="19"/>
        <v>0</v>
      </c>
    </row>
    <row r="454" spans="1:19" ht="14.15" customHeight="1">
      <c r="A454" s="71">
        <v>454</v>
      </c>
      <c r="B454" s="67" t="s">
        <v>216</v>
      </c>
      <c r="C454" s="467" t="s">
        <v>626</v>
      </c>
      <c r="D454" s="467" t="s">
        <v>720</v>
      </c>
      <c r="E454" s="67" t="s">
        <v>714</v>
      </c>
      <c r="F454" s="67" t="s">
        <v>445</v>
      </c>
      <c r="G454" s="67" t="s">
        <v>515</v>
      </c>
      <c r="H454" s="67" t="s">
        <v>609</v>
      </c>
      <c r="I454" s="67" t="s">
        <v>70</v>
      </c>
      <c r="J454" s="67" t="s">
        <v>70</v>
      </c>
      <c r="K454" s="67">
        <v>56.2</v>
      </c>
      <c r="L454" s="299">
        <f t="shared" si="18"/>
        <v>0</v>
      </c>
      <c r="M454" s="221" t="s">
        <v>631</v>
      </c>
      <c r="N454" s="220">
        <f>IF(OR(M454="nio",M454="eigen dienst"),0,IF(M454&gt;0,M454*K454/O454,0))*VLOOKUP(B454,'2-Kosten per locatie'!$A$14:$C$33,3,FALSE)</f>
        <v>0</v>
      </c>
      <c r="O454" s="300">
        <f>IF(OR(M454="nio",M454="eigen dienst"),0,IF(M454&gt;0,VLOOKUP(H454,'3-Productie normen'!A:J,VLOOKUP(M454,'3-Productie normen'!$B$34:$C$35,2,FALSE),FALSE)))</f>
        <v>0</v>
      </c>
      <c r="P454" s="301" t="str">
        <f>VLOOKUP(H454,'3-Productie normen'!A:L,12,FALSE)</f>
        <v>L</v>
      </c>
      <c r="Q454" s="301"/>
      <c r="S454" s="302">
        <f t="shared" si="19"/>
        <v>0</v>
      </c>
    </row>
    <row r="455" spans="1:19" ht="14.15" customHeight="1">
      <c r="A455" s="71">
        <v>455</v>
      </c>
      <c r="B455" s="67" t="s">
        <v>216</v>
      </c>
      <c r="C455" s="467" t="s">
        <v>626</v>
      </c>
      <c r="D455" s="467" t="s">
        <v>720</v>
      </c>
      <c r="E455" s="67" t="s">
        <v>714</v>
      </c>
      <c r="F455" s="67" t="s">
        <v>446</v>
      </c>
      <c r="G455" s="67" t="s">
        <v>515</v>
      </c>
      <c r="H455" s="67" t="s">
        <v>609</v>
      </c>
      <c r="I455" s="67" t="s">
        <v>70</v>
      </c>
      <c r="J455" s="67" t="s">
        <v>70</v>
      </c>
      <c r="K455" s="67">
        <v>55.6</v>
      </c>
      <c r="L455" s="299">
        <f t="shared" si="18"/>
        <v>0</v>
      </c>
      <c r="M455" s="221" t="s">
        <v>631</v>
      </c>
      <c r="N455" s="220">
        <f>IF(OR(M455="nio",M455="eigen dienst"),0,IF(M455&gt;0,M455*K455/O455,0))*VLOOKUP(B455,'2-Kosten per locatie'!$A$14:$C$33,3,FALSE)</f>
        <v>0</v>
      </c>
      <c r="O455" s="300">
        <f>IF(OR(M455="nio",M455="eigen dienst"),0,IF(M455&gt;0,VLOOKUP(H455,'3-Productie normen'!A:J,VLOOKUP(M455,'3-Productie normen'!$B$34:$C$35,2,FALSE),FALSE)))</f>
        <v>0</v>
      </c>
      <c r="P455" s="301" t="str">
        <f>VLOOKUP(H455,'3-Productie normen'!A:L,12,FALSE)</f>
        <v>L</v>
      </c>
      <c r="Q455" s="301"/>
      <c r="S455" s="302">
        <f t="shared" si="19"/>
        <v>0</v>
      </c>
    </row>
    <row r="456" spans="1:19" ht="14.15" customHeight="1">
      <c r="A456" s="71">
        <v>456</v>
      </c>
      <c r="B456" s="67" t="s">
        <v>216</v>
      </c>
      <c r="C456" s="467" t="s">
        <v>626</v>
      </c>
      <c r="D456" s="467" t="s">
        <v>720</v>
      </c>
      <c r="E456" s="67" t="s">
        <v>714</v>
      </c>
      <c r="F456" s="67" t="s">
        <v>447</v>
      </c>
      <c r="G456" s="67" t="s">
        <v>515</v>
      </c>
      <c r="H456" s="67" t="s">
        <v>609</v>
      </c>
      <c r="I456" s="67" t="s">
        <v>70</v>
      </c>
      <c r="J456" s="67" t="s">
        <v>70</v>
      </c>
      <c r="K456" s="67">
        <v>56</v>
      </c>
      <c r="L456" s="299">
        <f t="shared" si="18"/>
        <v>0</v>
      </c>
      <c r="M456" s="221" t="s">
        <v>631</v>
      </c>
      <c r="N456" s="220">
        <f>IF(OR(M456="nio",M456="eigen dienst"),0,IF(M456&gt;0,M456*K456/O456,0))*VLOOKUP(B456,'2-Kosten per locatie'!$A$14:$C$33,3,FALSE)</f>
        <v>0</v>
      </c>
      <c r="O456" s="300">
        <f>IF(OR(M456="nio",M456="eigen dienst"),0,IF(M456&gt;0,VLOOKUP(H456,'3-Productie normen'!A:J,VLOOKUP(M456,'3-Productie normen'!$B$34:$C$35,2,FALSE),FALSE)))</f>
        <v>0</v>
      </c>
      <c r="P456" s="301" t="str">
        <f>VLOOKUP(H456,'3-Productie normen'!A:L,12,FALSE)</f>
        <v>L</v>
      </c>
      <c r="Q456" s="301"/>
      <c r="S456" s="302">
        <f t="shared" si="19"/>
        <v>0</v>
      </c>
    </row>
    <row r="457" spans="1:19" ht="14.15" customHeight="1">
      <c r="A457" s="71">
        <v>457</v>
      </c>
      <c r="B457" s="67" t="s">
        <v>216</v>
      </c>
      <c r="C457" s="467" t="s">
        <v>626</v>
      </c>
      <c r="D457" s="467" t="s">
        <v>720</v>
      </c>
      <c r="E457" s="67" t="s">
        <v>714</v>
      </c>
      <c r="F457" s="67" t="s">
        <v>448</v>
      </c>
      <c r="G457" s="67" t="s">
        <v>515</v>
      </c>
      <c r="H457" s="67" t="s">
        <v>609</v>
      </c>
      <c r="I457" s="67" t="s">
        <v>70</v>
      </c>
      <c r="J457" s="67" t="s">
        <v>70</v>
      </c>
      <c r="K457" s="67">
        <v>55.3</v>
      </c>
      <c r="L457" s="299">
        <f t="shared" si="18"/>
        <v>0</v>
      </c>
      <c r="M457" s="221" t="s">
        <v>631</v>
      </c>
      <c r="N457" s="220">
        <f>IF(OR(M457="nio",M457="eigen dienst"),0,IF(M457&gt;0,M457*K457/O457,0))*VLOOKUP(B457,'2-Kosten per locatie'!$A$14:$C$33,3,FALSE)</f>
        <v>0</v>
      </c>
      <c r="O457" s="300">
        <f>IF(OR(M457="nio",M457="eigen dienst"),0,IF(M457&gt;0,VLOOKUP(H457,'3-Productie normen'!A:J,VLOOKUP(M457,'3-Productie normen'!$B$34:$C$35,2,FALSE),FALSE)))</f>
        <v>0</v>
      </c>
      <c r="P457" s="301" t="str">
        <f>VLOOKUP(H457,'3-Productie normen'!A:L,12,FALSE)</f>
        <v>L</v>
      </c>
      <c r="Q457" s="301"/>
      <c r="S457" s="302">
        <f t="shared" si="19"/>
        <v>0</v>
      </c>
    </row>
    <row r="458" spans="1:19" ht="14.15" customHeight="1">
      <c r="A458" s="71">
        <v>458</v>
      </c>
      <c r="B458" s="67" t="s">
        <v>216</v>
      </c>
      <c r="C458" s="467" t="s">
        <v>626</v>
      </c>
      <c r="D458" s="467" t="s">
        <v>720</v>
      </c>
      <c r="E458" s="67" t="s">
        <v>714</v>
      </c>
      <c r="F458" s="67" t="s">
        <v>449</v>
      </c>
      <c r="G458" s="67" t="s">
        <v>512</v>
      </c>
      <c r="H458" s="67" t="s">
        <v>39</v>
      </c>
      <c r="I458" s="67" t="s">
        <v>70</v>
      </c>
      <c r="J458" s="67" t="s">
        <v>70</v>
      </c>
      <c r="K458" s="67">
        <v>4.7</v>
      </c>
      <c r="L458" s="299">
        <f t="shared" si="18"/>
        <v>0</v>
      </c>
      <c r="M458" s="221" t="s">
        <v>631</v>
      </c>
      <c r="N458" s="220">
        <f>IF(OR(M458="nio",M458="eigen dienst"),0,IF(M458&gt;0,M458*K458/O458,0))*VLOOKUP(B458,'2-Kosten per locatie'!$A$14:$C$33,3,FALSE)</f>
        <v>0</v>
      </c>
      <c r="O458" s="300">
        <f>IF(OR(M458="nio",M458="eigen dienst"),0,IF(M458&gt;0,VLOOKUP(H458,'3-Productie normen'!A:J,VLOOKUP(M458,'3-Productie normen'!$B$34:$C$35,2,FALSE),FALSE)))</f>
        <v>0</v>
      </c>
      <c r="P458" s="301" t="str">
        <f>VLOOKUP(H458,'3-Productie normen'!A:L,12,FALSE)</f>
        <v>V</v>
      </c>
      <c r="Q458" s="301"/>
      <c r="S458" s="302">
        <f t="shared" si="19"/>
        <v>0</v>
      </c>
    </row>
    <row r="459" spans="1:19" ht="14.15" customHeight="1">
      <c r="A459" s="71">
        <v>459</v>
      </c>
      <c r="B459" s="67" t="s">
        <v>216</v>
      </c>
      <c r="C459" s="467" t="s">
        <v>626</v>
      </c>
      <c r="D459" s="467" t="s">
        <v>720</v>
      </c>
      <c r="E459" s="67" t="s">
        <v>714</v>
      </c>
      <c r="F459" s="67" t="s">
        <v>450</v>
      </c>
      <c r="G459" s="67" t="s">
        <v>512</v>
      </c>
      <c r="H459" s="67" t="s">
        <v>39</v>
      </c>
      <c r="I459" s="67" t="s">
        <v>70</v>
      </c>
      <c r="J459" s="67" t="s">
        <v>70</v>
      </c>
      <c r="K459" s="67">
        <v>8.6</v>
      </c>
      <c r="L459" s="299">
        <f t="shared" si="18"/>
        <v>0</v>
      </c>
      <c r="M459" s="221" t="s">
        <v>631</v>
      </c>
      <c r="N459" s="220">
        <f>IF(OR(M459="nio",M459="eigen dienst"),0,IF(M459&gt;0,M459*K459/O459,0))*VLOOKUP(B459,'2-Kosten per locatie'!$A$14:$C$33,3,FALSE)</f>
        <v>0</v>
      </c>
      <c r="O459" s="300">
        <f>IF(OR(M459="nio",M459="eigen dienst"),0,IF(M459&gt;0,VLOOKUP(H459,'3-Productie normen'!A:J,VLOOKUP(M459,'3-Productie normen'!$B$34:$C$35,2,FALSE),FALSE)))</f>
        <v>0</v>
      </c>
      <c r="P459" s="301" t="str">
        <f>VLOOKUP(H459,'3-Productie normen'!A:L,12,FALSE)</f>
        <v>V</v>
      </c>
      <c r="Q459" s="301"/>
      <c r="S459" s="302">
        <f t="shared" si="19"/>
        <v>0</v>
      </c>
    </row>
    <row r="460" spans="1:19" ht="14.15" customHeight="1">
      <c r="A460" s="71">
        <v>460</v>
      </c>
      <c r="B460" s="67" t="s">
        <v>216</v>
      </c>
      <c r="C460" s="467" t="s">
        <v>626</v>
      </c>
      <c r="D460" s="467" t="s">
        <v>720</v>
      </c>
      <c r="E460" s="67" t="s">
        <v>714</v>
      </c>
      <c r="F460" s="67" t="s">
        <v>451</v>
      </c>
      <c r="G460" s="67" t="s">
        <v>515</v>
      </c>
      <c r="H460" s="67" t="s">
        <v>609</v>
      </c>
      <c r="I460" s="67" t="s">
        <v>70</v>
      </c>
      <c r="J460" s="67" t="s">
        <v>70</v>
      </c>
      <c r="K460" s="67">
        <v>48.6</v>
      </c>
      <c r="L460" s="299">
        <f t="shared" si="18"/>
        <v>0</v>
      </c>
      <c r="M460" s="221" t="s">
        <v>631</v>
      </c>
      <c r="N460" s="220">
        <f>IF(OR(M460="nio",M460="eigen dienst"),0,IF(M460&gt;0,M460*K460/O460,0))*VLOOKUP(B460,'2-Kosten per locatie'!$A$14:$C$33,3,FALSE)</f>
        <v>0</v>
      </c>
      <c r="O460" s="300">
        <f>IF(OR(M460="nio",M460="eigen dienst"),0,IF(M460&gt;0,VLOOKUP(H460,'3-Productie normen'!A:J,VLOOKUP(M460,'3-Productie normen'!$B$34:$C$35,2,FALSE),FALSE)))</f>
        <v>0</v>
      </c>
      <c r="P460" s="301" t="str">
        <f>VLOOKUP(H460,'3-Productie normen'!A:L,12,FALSE)</f>
        <v>L</v>
      </c>
      <c r="Q460" s="301"/>
      <c r="S460" s="302">
        <f t="shared" si="19"/>
        <v>0</v>
      </c>
    </row>
    <row r="461" spans="1:19" ht="14.15" customHeight="1">
      <c r="A461" s="71">
        <v>461</v>
      </c>
      <c r="B461" s="67" t="s">
        <v>219</v>
      </c>
      <c r="C461" s="467" t="s">
        <v>628</v>
      </c>
      <c r="D461" s="467" t="s">
        <v>720</v>
      </c>
      <c r="E461" s="67" t="s">
        <v>713</v>
      </c>
      <c r="F461" s="67" t="s">
        <v>220</v>
      </c>
      <c r="G461" s="67" t="s">
        <v>515</v>
      </c>
      <c r="H461" s="67" t="s">
        <v>609</v>
      </c>
      <c r="I461" s="67" t="s">
        <v>70</v>
      </c>
      <c r="J461" s="67" t="s">
        <v>70</v>
      </c>
      <c r="K461" s="67">
        <v>83.7</v>
      </c>
      <c r="L461" s="299">
        <f t="shared" ref="L461:L522" si="20">SUM(M461:M461)</f>
        <v>200</v>
      </c>
      <c r="M461" s="221">
        <v>200</v>
      </c>
      <c r="N461" s="220" t="e">
        <f>IF(OR(M461="nio",M461="eigen dienst"),0,IF(M461&gt;0,M461*K461/O461,0))*VLOOKUP(B461,'2-Kosten per locatie'!$A$14:$C$33,3,FALSE)</f>
        <v>#DIV/0!</v>
      </c>
      <c r="O461" s="300">
        <f>IF(OR(M461="nio",M461="eigen dienst"),0,IF(M461&gt;0,VLOOKUP(H461,'3-Productie normen'!A:J,VLOOKUP(M461,'3-Productie normen'!$B$34:$C$35,2,FALSE),FALSE)))</f>
        <v>0</v>
      </c>
      <c r="P461" s="301" t="str">
        <f>VLOOKUP(H461,'3-Productie normen'!A:L,12,FALSE)</f>
        <v>L</v>
      </c>
      <c r="Q461" s="301"/>
      <c r="S461" s="302">
        <f t="shared" ref="S461:S522" si="21">L461*K461</f>
        <v>16740</v>
      </c>
    </row>
    <row r="462" spans="1:19" ht="14.15" customHeight="1">
      <c r="A462" s="71">
        <v>462</v>
      </c>
      <c r="B462" s="67" t="s">
        <v>219</v>
      </c>
      <c r="C462" s="467" t="s">
        <v>628</v>
      </c>
      <c r="D462" s="467" t="s">
        <v>720</v>
      </c>
      <c r="E462" s="67" t="s">
        <v>713</v>
      </c>
      <c r="F462" s="67" t="s">
        <v>228</v>
      </c>
      <c r="G462" s="67" t="s">
        <v>515</v>
      </c>
      <c r="H462" s="67" t="s">
        <v>609</v>
      </c>
      <c r="I462" s="67" t="s">
        <v>70</v>
      </c>
      <c r="J462" s="67" t="s">
        <v>70</v>
      </c>
      <c r="K462" s="67">
        <v>55.3</v>
      </c>
      <c r="L462" s="299">
        <f t="shared" si="20"/>
        <v>200</v>
      </c>
      <c r="M462" s="221">
        <v>200</v>
      </c>
      <c r="N462" s="220" t="e">
        <f>IF(OR(M462="nio",M462="eigen dienst"),0,IF(M462&gt;0,M462*K462/O462,0))*VLOOKUP(B462,'2-Kosten per locatie'!$A$14:$C$33,3,FALSE)</f>
        <v>#DIV/0!</v>
      </c>
      <c r="O462" s="300">
        <f>IF(OR(M462="nio",M462="eigen dienst"),0,IF(M462&gt;0,VLOOKUP(H462,'3-Productie normen'!A:J,VLOOKUP(M462,'3-Productie normen'!$B$34:$C$35,2,FALSE),FALSE)))</f>
        <v>0</v>
      </c>
      <c r="P462" s="301" t="str">
        <f>VLOOKUP(H462,'3-Productie normen'!A:L,12,FALSE)</f>
        <v>L</v>
      </c>
      <c r="Q462" s="301"/>
      <c r="S462" s="302">
        <f t="shared" si="21"/>
        <v>11060</v>
      </c>
    </row>
    <row r="463" spans="1:19" ht="14.15" customHeight="1">
      <c r="A463" s="71">
        <v>463</v>
      </c>
      <c r="B463" s="67" t="s">
        <v>219</v>
      </c>
      <c r="C463" s="467" t="s">
        <v>628</v>
      </c>
      <c r="D463" s="467" t="s">
        <v>720</v>
      </c>
      <c r="E463" s="67" t="s">
        <v>713</v>
      </c>
      <c r="F463" s="67" t="s">
        <v>229</v>
      </c>
      <c r="G463" s="67" t="s">
        <v>596</v>
      </c>
      <c r="H463" s="67" t="s">
        <v>46</v>
      </c>
      <c r="I463" s="67" t="s">
        <v>70</v>
      </c>
      <c r="J463" s="67" t="s">
        <v>70</v>
      </c>
      <c r="K463" s="67">
        <v>35.299999999999997</v>
      </c>
      <c r="L463" s="299">
        <f t="shared" si="20"/>
        <v>200</v>
      </c>
      <c r="M463" s="221">
        <v>200</v>
      </c>
      <c r="N463" s="220" t="e">
        <f>IF(OR(M463="nio",M463="eigen dienst"),0,IF(M463&gt;0,M463*K463/O463,0))*VLOOKUP(B463,'2-Kosten per locatie'!$A$14:$C$33,3,FALSE)</f>
        <v>#DIV/0!</v>
      </c>
      <c r="O463" s="300">
        <f>IF(OR(M463="nio",M463="eigen dienst"),0,IF(M463&gt;0,VLOOKUP(H463,'3-Productie normen'!A:J,VLOOKUP(M463,'3-Productie normen'!$B$34:$C$35,2,FALSE),FALSE)))</f>
        <v>0</v>
      </c>
      <c r="P463" s="301" t="str">
        <f>VLOOKUP(H463,'3-Productie normen'!A:L,12,FALSE)</f>
        <v>V</v>
      </c>
      <c r="Q463" s="301"/>
      <c r="S463" s="302">
        <f t="shared" si="21"/>
        <v>7059.9999999999991</v>
      </c>
    </row>
    <row r="464" spans="1:19" ht="14.15" customHeight="1">
      <c r="A464" s="71">
        <v>464</v>
      </c>
      <c r="B464" s="67" t="s">
        <v>219</v>
      </c>
      <c r="C464" s="467" t="s">
        <v>628</v>
      </c>
      <c r="D464" s="467" t="s">
        <v>720</v>
      </c>
      <c r="E464" s="67" t="s">
        <v>713</v>
      </c>
      <c r="F464" s="67" t="s">
        <v>230</v>
      </c>
      <c r="G464" s="67" t="s">
        <v>515</v>
      </c>
      <c r="H464" s="67" t="s">
        <v>609</v>
      </c>
      <c r="I464" s="67" t="s">
        <v>70</v>
      </c>
      <c r="J464" s="67" t="s">
        <v>70</v>
      </c>
      <c r="K464" s="67">
        <v>57.6</v>
      </c>
      <c r="L464" s="299">
        <f t="shared" si="20"/>
        <v>200</v>
      </c>
      <c r="M464" s="221">
        <v>200</v>
      </c>
      <c r="N464" s="220" t="e">
        <f>IF(OR(M464="nio",M464="eigen dienst"),0,IF(M464&gt;0,M464*K464/O464,0))*VLOOKUP(B464,'2-Kosten per locatie'!$A$14:$C$33,3,FALSE)</f>
        <v>#DIV/0!</v>
      </c>
      <c r="O464" s="300">
        <f>IF(OR(M464="nio",M464="eigen dienst"),0,IF(M464&gt;0,VLOOKUP(H464,'3-Productie normen'!A:J,VLOOKUP(M464,'3-Productie normen'!$B$34:$C$35,2,FALSE),FALSE)))</f>
        <v>0</v>
      </c>
      <c r="P464" s="301" t="str">
        <f>VLOOKUP(H464,'3-Productie normen'!A:L,12,FALSE)</f>
        <v>L</v>
      </c>
      <c r="Q464" s="301"/>
      <c r="S464" s="302">
        <f t="shared" si="21"/>
        <v>11520</v>
      </c>
    </row>
    <row r="465" spans="1:19" ht="14.15" customHeight="1">
      <c r="A465" s="71">
        <v>465</v>
      </c>
      <c r="B465" s="67" t="s">
        <v>219</v>
      </c>
      <c r="C465" s="467" t="s">
        <v>628</v>
      </c>
      <c r="D465" s="467" t="s">
        <v>720</v>
      </c>
      <c r="E465" s="67" t="s">
        <v>713</v>
      </c>
      <c r="F465" s="67" t="s">
        <v>231</v>
      </c>
      <c r="G465" s="67" t="s">
        <v>515</v>
      </c>
      <c r="H465" s="67" t="s">
        <v>609</v>
      </c>
      <c r="I465" s="67" t="s">
        <v>70</v>
      </c>
      <c r="J465" s="67" t="s">
        <v>70</v>
      </c>
      <c r="K465" s="67">
        <v>57.6</v>
      </c>
      <c r="L465" s="299">
        <f t="shared" si="20"/>
        <v>200</v>
      </c>
      <c r="M465" s="221">
        <v>200</v>
      </c>
      <c r="N465" s="220" t="e">
        <f>IF(OR(M465="nio",M465="eigen dienst"),0,IF(M465&gt;0,M465*K465/O465,0))*VLOOKUP(B465,'2-Kosten per locatie'!$A$14:$C$33,3,FALSE)</f>
        <v>#DIV/0!</v>
      </c>
      <c r="O465" s="300">
        <f>IF(OR(M465="nio",M465="eigen dienst"),0,IF(M465&gt;0,VLOOKUP(H465,'3-Productie normen'!A:J,VLOOKUP(M465,'3-Productie normen'!$B$34:$C$35,2,FALSE),FALSE)))</f>
        <v>0</v>
      </c>
      <c r="P465" s="301" t="str">
        <f>VLOOKUP(H465,'3-Productie normen'!A:L,12,FALSE)</f>
        <v>L</v>
      </c>
      <c r="Q465" s="301"/>
      <c r="S465" s="302">
        <f t="shared" si="21"/>
        <v>11520</v>
      </c>
    </row>
    <row r="466" spans="1:19" ht="14.15" customHeight="1">
      <c r="A466" s="71">
        <v>466</v>
      </c>
      <c r="B466" s="67" t="s">
        <v>219</v>
      </c>
      <c r="C466" s="467" t="s">
        <v>628</v>
      </c>
      <c r="D466" s="467" t="s">
        <v>720</v>
      </c>
      <c r="E466" s="67" t="s">
        <v>713</v>
      </c>
      <c r="F466" s="67" t="s">
        <v>232</v>
      </c>
      <c r="G466" s="67" t="s">
        <v>515</v>
      </c>
      <c r="H466" s="67" t="s">
        <v>609</v>
      </c>
      <c r="I466" s="67" t="s">
        <v>70</v>
      </c>
      <c r="J466" s="67" t="s">
        <v>70</v>
      </c>
      <c r="K466" s="67">
        <v>57.6</v>
      </c>
      <c r="L466" s="299">
        <f t="shared" si="20"/>
        <v>200</v>
      </c>
      <c r="M466" s="221">
        <v>200</v>
      </c>
      <c r="N466" s="220" t="e">
        <f>IF(OR(M466="nio",M466="eigen dienst"),0,IF(M466&gt;0,M466*K466/O466,0))*VLOOKUP(B466,'2-Kosten per locatie'!$A$14:$C$33,3,FALSE)</f>
        <v>#DIV/0!</v>
      </c>
      <c r="O466" s="300">
        <f>IF(OR(M466="nio",M466="eigen dienst"),0,IF(M466&gt;0,VLOOKUP(H466,'3-Productie normen'!A:J,VLOOKUP(M466,'3-Productie normen'!$B$34:$C$35,2,FALSE),FALSE)))</f>
        <v>0</v>
      </c>
      <c r="P466" s="301" t="str">
        <f>VLOOKUP(H466,'3-Productie normen'!A:L,12,FALSE)</f>
        <v>L</v>
      </c>
      <c r="Q466" s="301"/>
      <c r="S466" s="302">
        <f t="shared" si="21"/>
        <v>11520</v>
      </c>
    </row>
    <row r="467" spans="1:19" ht="14.15" customHeight="1">
      <c r="A467" s="71">
        <v>467</v>
      </c>
      <c r="B467" s="67" t="s">
        <v>219</v>
      </c>
      <c r="C467" s="467" t="s">
        <v>628</v>
      </c>
      <c r="D467" s="467" t="s">
        <v>720</v>
      </c>
      <c r="E467" s="67" t="s">
        <v>713</v>
      </c>
      <c r="F467" s="67" t="s">
        <v>233</v>
      </c>
      <c r="G467" s="67" t="s">
        <v>596</v>
      </c>
      <c r="H467" s="67" t="s">
        <v>46</v>
      </c>
      <c r="I467" s="67" t="s">
        <v>70</v>
      </c>
      <c r="J467" s="67" t="s">
        <v>70</v>
      </c>
      <c r="K467" s="67">
        <v>13.4</v>
      </c>
      <c r="L467" s="299">
        <f t="shared" si="20"/>
        <v>200</v>
      </c>
      <c r="M467" s="221">
        <v>200</v>
      </c>
      <c r="N467" s="220" t="e">
        <f>IF(OR(M467="nio",M467="eigen dienst"),0,IF(M467&gt;0,M467*K467/O467,0))*VLOOKUP(B467,'2-Kosten per locatie'!$A$14:$C$33,3,FALSE)</f>
        <v>#DIV/0!</v>
      </c>
      <c r="O467" s="300">
        <f>IF(OR(M467="nio",M467="eigen dienst"),0,IF(M467&gt;0,VLOOKUP(H467,'3-Productie normen'!A:J,VLOOKUP(M467,'3-Productie normen'!$B$34:$C$35,2,FALSE),FALSE)))</f>
        <v>0</v>
      </c>
      <c r="P467" s="301" t="str">
        <f>VLOOKUP(H467,'3-Productie normen'!A:L,12,FALSE)</f>
        <v>V</v>
      </c>
      <c r="Q467" s="301"/>
      <c r="S467" s="302">
        <f t="shared" si="21"/>
        <v>2680</v>
      </c>
    </row>
    <row r="468" spans="1:19" ht="14.15" customHeight="1">
      <c r="A468" s="71">
        <v>468</v>
      </c>
      <c r="B468" s="67" t="s">
        <v>219</v>
      </c>
      <c r="C468" s="467" t="s">
        <v>628</v>
      </c>
      <c r="D468" s="467" t="s">
        <v>720</v>
      </c>
      <c r="E468" s="67" t="s">
        <v>713</v>
      </c>
      <c r="F468" s="67" t="s">
        <v>234</v>
      </c>
      <c r="G468" s="67" t="s">
        <v>596</v>
      </c>
      <c r="H468" s="67" t="s">
        <v>46</v>
      </c>
      <c r="I468" s="67" t="s">
        <v>70</v>
      </c>
      <c r="J468" s="67" t="s">
        <v>70</v>
      </c>
      <c r="K468" s="67">
        <v>27.8</v>
      </c>
      <c r="L468" s="299">
        <f t="shared" si="20"/>
        <v>200</v>
      </c>
      <c r="M468" s="221">
        <v>200</v>
      </c>
      <c r="N468" s="220" t="e">
        <f>IF(OR(M468="nio",M468="eigen dienst"),0,IF(M468&gt;0,M468*K468/O468,0))*VLOOKUP(B468,'2-Kosten per locatie'!$A$14:$C$33,3,FALSE)</f>
        <v>#DIV/0!</v>
      </c>
      <c r="O468" s="300">
        <f>IF(OR(M468="nio",M468="eigen dienst"),0,IF(M468&gt;0,VLOOKUP(H468,'3-Productie normen'!A:J,VLOOKUP(M468,'3-Productie normen'!$B$34:$C$35,2,FALSE),FALSE)))</f>
        <v>0</v>
      </c>
      <c r="P468" s="301" t="str">
        <f>VLOOKUP(H468,'3-Productie normen'!A:L,12,FALSE)</f>
        <v>V</v>
      </c>
      <c r="Q468" s="301"/>
      <c r="S468" s="302">
        <f t="shared" si="21"/>
        <v>5560</v>
      </c>
    </row>
    <row r="469" spans="1:19" ht="14.15" customHeight="1">
      <c r="A469" s="71">
        <v>469</v>
      </c>
      <c r="B469" s="67" t="s">
        <v>219</v>
      </c>
      <c r="C469" s="467" t="s">
        <v>628</v>
      </c>
      <c r="D469" s="467" t="s">
        <v>720</v>
      </c>
      <c r="E469" s="67" t="s">
        <v>713</v>
      </c>
      <c r="F469" s="67" t="s">
        <v>235</v>
      </c>
      <c r="G469" s="67" t="s">
        <v>515</v>
      </c>
      <c r="H469" s="67" t="s">
        <v>609</v>
      </c>
      <c r="I469" s="67" t="s">
        <v>70</v>
      </c>
      <c r="J469" s="67" t="s">
        <v>70</v>
      </c>
      <c r="K469" s="67">
        <v>55.9</v>
      </c>
      <c r="L469" s="299">
        <f t="shared" si="20"/>
        <v>200</v>
      </c>
      <c r="M469" s="221">
        <v>200</v>
      </c>
      <c r="N469" s="220" t="e">
        <f>IF(OR(M469="nio",M469="eigen dienst"),0,IF(M469&gt;0,M469*K469/O469,0))*VLOOKUP(B469,'2-Kosten per locatie'!$A$14:$C$33,3,FALSE)</f>
        <v>#DIV/0!</v>
      </c>
      <c r="O469" s="300">
        <f>IF(OR(M469="nio",M469="eigen dienst"),0,IF(M469&gt;0,VLOOKUP(H469,'3-Productie normen'!A:J,VLOOKUP(M469,'3-Productie normen'!$B$34:$C$35,2,FALSE),FALSE)))</f>
        <v>0</v>
      </c>
      <c r="P469" s="301" t="str">
        <f>VLOOKUP(H469,'3-Productie normen'!A:L,12,FALSE)</f>
        <v>L</v>
      </c>
      <c r="Q469" s="301"/>
      <c r="S469" s="302">
        <f t="shared" si="21"/>
        <v>11180</v>
      </c>
    </row>
    <row r="470" spans="1:19" ht="14.15" customHeight="1">
      <c r="A470" s="71">
        <v>470</v>
      </c>
      <c r="B470" s="67" t="s">
        <v>219</v>
      </c>
      <c r="C470" s="467" t="s">
        <v>628</v>
      </c>
      <c r="D470" s="467" t="s">
        <v>720</v>
      </c>
      <c r="E470" s="67" t="s">
        <v>713</v>
      </c>
      <c r="F470" s="67" t="s">
        <v>236</v>
      </c>
      <c r="G470" s="67" t="s">
        <v>515</v>
      </c>
      <c r="H470" s="67" t="s">
        <v>609</v>
      </c>
      <c r="I470" s="67" t="s">
        <v>70</v>
      </c>
      <c r="J470" s="67" t="s">
        <v>70</v>
      </c>
      <c r="K470" s="67">
        <v>55.9</v>
      </c>
      <c r="L470" s="299">
        <f t="shared" si="20"/>
        <v>200</v>
      </c>
      <c r="M470" s="221">
        <v>200</v>
      </c>
      <c r="N470" s="220" t="e">
        <f>IF(OR(M470="nio",M470="eigen dienst"),0,IF(M470&gt;0,M470*K470/O470,0))*VLOOKUP(B470,'2-Kosten per locatie'!$A$14:$C$33,3,FALSE)</f>
        <v>#DIV/0!</v>
      </c>
      <c r="O470" s="300">
        <f>IF(OR(M470="nio",M470="eigen dienst"),0,IF(M470&gt;0,VLOOKUP(H470,'3-Productie normen'!A:J,VLOOKUP(M470,'3-Productie normen'!$B$34:$C$35,2,FALSE),FALSE)))</f>
        <v>0</v>
      </c>
      <c r="P470" s="301" t="str">
        <f>VLOOKUP(H470,'3-Productie normen'!A:L,12,FALSE)</f>
        <v>L</v>
      </c>
      <c r="Q470" s="301"/>
      <c r="S470" s="302">
        <f t="shared" si="21"/>
        <v>11180</v>
      </c>
    </row>
    <row r="471" spans="1:19" ht="14.15" customHeight="1">
      <c r="A471" s="71">
        <v>471</v>
      </c>
      <c r="B471" s="67" t="s">
        <v>219</v>
      </c>
      <c r="C471" s="467" t="s">
        <v>628</v>
      </c>
      <c r="D471" s="467" t="s">
        <v>720</v>
      </c>
      <c r="E471" s="67" t="s">
        <v>713</v>
      </c>
      <c r="F471" s="67" t="s">
        <v>237</v>
      </c>
      <c r="G471" s="67" t="s">
        <v>516</v>
      </c>
      <c r="H471" s="67" t="s">
        <v>35</v>
      </c>
      <c r="I471" s="67" t="s">
        <v>70</v>
      </c>
      <c r="J471" s="67" t="s">
        <v>70</v>
      </c>
      <c r="K471" s="67">
        <v>21</v>
      </c>
      <c r="L471" s="299">
        <f t="shared" si="20"/>
        <v>200</v>
      </c>
      <c r="M471" s="221">
        <v>200</v>
      </c>
      <c r="N471" s="220" t="e">
        <f>IF(OR(M471="nio",M471="eigen dienst"),0,IF(M471&gt;0,M471*K471/O471,0))*VLOOKUP(B471,'2-Kosten per locatie'!$A$14:$C$33,3,FALSE)</f>
        <v>#DIV/0!</v>
      </c>
      <c r="O471" s="300">
        <f>IF(OR(M471="nio",M471="eigen dienst"),0,IF(M471&gt;0,VLOOKUP(H471,'3-Productie normen'!A:J,VLOOKUP(M471,'3-Productie normen'!$B$34:$C$35,2,FALSE),FALSE)))</f>
        <v>0</v>
      </c>
      <c r="P471" s="301" t="str">
        <f>VLOOKUP(H471,'3-Productie normen'!A:L,12,FALSE)</f>
        <v>B</v>
      </c>
      <c r="Q471" s="301"/>
      <c r="S471" s="302">
        <f t="shared" si="21"/>
        <v>4200</v>
      </c>
    </row>
    <row r="472" spans="1:19" ht="14.15" customHeight="1">
      <c r="A472" s="71">
        <v>472</v>
      </c>
      <c r="B472" s="67" t="s">
        <v>219</v>
      </c>
      <c r="C472" s="467" t="s">
        <v>628</v>
      </c>
      <c r="D472" s="467" t="s">
        <v>720</v>
      </c>
      <c r="E472" s="67" t="s">
        <v>713</v>
      </c>
      <c r="F472" s="67" t="s">
        <v>221</v>
      </c>
      <c r="G472" s="67" t="s">
        <v>515</v>
      </c>
      <c r="H472" s="67" t="s">
        <v>609</v>
      </c>
      <c r="I472" s="67" t="s">
        <v>70</v>
      </c>
      <c r="J472" s="67" t="s">
        <v>70</v>
      </c>
      <c r="K472" s="67">
        <v>83.7</v>
      </c>
      <c r="L472" s="299">
        <f t="shared" si="20"/>
        <v>200</v>
      </c>
      <c r="M472" s="221">
        <v>200</v>
      </c>
      <c r="N472" s="220" t="e">
        <f>IF(OR(M472="nio",M472="eigen dienst"),0,IF(M472&gt;0,M472*K472/O472,0))*VLOOKUP(B472,'2-Kosten per locatie'!$A$14:$C$33,3,FALSE)</f>
        <v>#DIV/0!</v>
      </c>
      <c r="O472" s="300">
        <f>IF(OR(M472="nio",M472="eigen dienst"),0,IF(M472&gt;0,VLOOKUP(H472,'3-Productie normen'!A:J,VLOOKUP(M472,'3-Productie normen'!$B$34:$C$35,2,FALSE),FALSE)))</f>
        <v>0</v>
      </c>
      <c r="P472" s="301" t="str">
        <f>VLOOKUP(H472,'3-Productie normen'!A:L,12,FALSE)</f>
        <v>L</v>
      </c>
      <c r="Q472" s="301"/>
      <c r="S472" s="302">
        <f t="shared" si="21"/>
        <v>16740</v>
      </c>
    </row>
    <row r="473" spans="1:19" ht="14.15" customHeight="1">
      <c r="A473" s="71">
        <v>473</v>
      </c>
      <c r="B473" s="67" t="s">
        <v>219</v>
      </c>
      <c r="C473" s="467" t="s">
        <v>628</v>
      </c>
      <c r="D473" s="467" t="s">
        <v>720</v>
      </c>
      <c r="E473" s="67" t="s">
        <v>713</v>
      </c>
      <c r="F473" s="67" t="s">
        <v>238</v>
      </c>
      <c r="G473" s="67" t="s">
        <v>516</v>
      </c>
      <c r="H473" s="67" t="s">
        <v>35</v>
      </c>
      <c r="I473" s="67" t="s">
        <v>70</v>
      </c>
      <c r="J473" s="67" t="s">
        <v>70</v>
      </c>
      <c r="K473" s="67">
        <v>26.7</v>
      </c>
      <c r="L473" s="299">
        <f t="shared" si="20"/>
        <v>200</v>
      </c>
      <c r="M473" s="221">
        <v>200</v>
      </c>
      <c r="N473" s="220" t="e">
        <f>IF(OR(M473="nio",M473="eigen dienst"),0,IF(M473&gt;0,M473*K473/O473,0))*VLOOKUP(B473,'2-Kosten per locatie'!$A$14:$C$33,3,FALSE)</f>
        <v>#DIV/0!</v>
      </c>
      <c r="O473" s="300">
        <f>IF(OR(M473="nio",M473="eigen dienst"),0,IF(M473&gt;0,VLOOKUP(H473,'3-Productie normen'!A:J,VLOOKUP(M473,'3-Productie normen'!$B$34:$C$35,2,FALSE),FALSE)))</f>
        <v>0</v>
      </c>
      <c r="P473" s="301" t="str">
        <f>VLOOKUP(H473,'3-Productie normen'!A:L,12,FALSE)</f>
        <v>B</v>
      </c>
      <c r="Q473" s="301"/>
      <c r="S473" s="302">
        <f t="shared" si="21"/>
        <v>5340</v>
      </c>
    </row>
    <row r="474" spans="1:19" ht="14.15" customHeight="1">
      <c r="A474" s="71">
        <v>474</v>
      </c>
      <c r="B474" s="67" t="s">
        <v>219</v>
      </c>
      <c r="C474" s="467" t="s">
        <v>628</v>
      </c>
      <c r="D474" s="467" t="s">
        <v>720</v>
      </c>
      <c r="E474" s="67" t="s">
        <v>713</v>
      </c>
      <c r="F474" s="67" t="s">
        <v>239</v>
      </c>
      <c r="G474" s="67" t="s">
        <v>515</v>
      </c>
      <c r="H474" s="67" t="s">
        <v>609</v>
      </c>
      <c r="I474" s="67" t="s">
        <v>70</v>
      </c>
      <c r="J474" s="67" t="s">
        <v>70</v>
      </c>
      <c r="K474" s="67">
        <v>55.9</v>
      </c>
      <c r="L474" s="299">
        <f t="shared" si="20"/>
        <v>200</v>
      </c>
      <c r="M474" s="221">
        <v>200</v>
      </c>
      <c r="N474" s="220" t="e">
        <f>IF(OR(M474="nio",M474="eigen dienst"),0,IF(M474&gt;0,M474*K474/O474,0))*VLOOKUP(B474,'2-Kosten per locatie'!$A$14:$C$33,3,FALSE)</f>
        <v>#DIV/0!</v>
      </c>
      <c r="O474" s="300">
        <f>IF(OR(M474="nio",M474="eigen dienst"),0,IF(M474&gt;0,VLOOKUP(H474,'3-Productie normen'!A:J,VLOOKUP(M474,'3-Productie normen'!$B$34:$C$35,2,FALSE),FALSE)))</f>
        <v>0</v>
      </c>
      <c r="P474" s="301" t="str">
        <f>VLOOKUP(H474,'3-Productie normen'!A:L,12,FALSE)</f>
        <v>L</v>
      </c>
      <c r="Q474" s="301"/>
      <c r="S474" s="302">
        <f t="shared" si="21"/>
        <v>11180</v>
      </c>
    </row>
    <row r="475" spans="1:19" ht="14.15" customHeight="1">
      <c r="A475" s="71">
        <v>475</v>
      </c>
      <c r="B475" s="67" t="s">
        <v>219</v>
      </c>
      <c r="C475" s="467" t="s">
        <v>628</v>
      </c>
      <c r="D475" s="467" t="s">
        <v>720</v>
      </c>
      <c r="E475" s="67" t="s">
        <v>713</v>
      </c>
      <c r="F475" s="67" t="s">
        <v>240</v>
      </c>
      <c r="G475" s="67" t="s">
        <v>515</v>
      </c>
      <c r="H475" s="67" t="s">
        <v>609</v>
      </c>
      <c r="I475" s="67" t="s">
        <v>70</v>
      </c>
      <c r="J475" s="67" t="s">
        <v>70</v>
      </c>
      <c r="K475" s="67">
        <v>55.9</v>
      </c>
      <c r="L475" s="299">
        <f t="shared" si="20"/>
        <v>200</v>
      </c>
      <c r="M475" s="221">
        <v>200</v>
      </c>
      <c r="N475" s="220" t="e">
        <f>IF(OR(M475="nio",M475="eigen dienst"),0,IF(M475&gt;0,M475*K475/O475,0))*VLOOKUP(B475,'2-Kosten per locatie'!$A$14:$C$33,3,FALSE)</f>
        <v>#DIV/0!</v>
      </c>
      <c r="O475" s="300">
        <f>IF(OR(M475="nio",M475="eigen dienst"),0,IF(M475&gt;0,VLOOKUP(H475,'3-Productie normen'!A:J,VLOOKUP(M475,'3-Productie normen'!$B$34:$C$35,2,FALSE),FALSE)))</f>
        <v>0</v>
      </c>
      <c r="P475" s="301" t="str">
        <f>VLOOKUP(H475,'3-Productie normen'!A:L,12,FALSE)</f>
        <v>L</v>
      </c>
      <c r="Q475" s="301"/>
      <c r="S475" s="302">
        <f t="shared" si="21"/>
        <v>11180</v>
      </c>
    </row>
    <row r="476" spans="1:19" ht="14.15" customHeight="1">
      <c r="A476" s="71">
        <v>476</v>
      </c>
      <c r="B476" s="67" t="s">
        <v>219</v>
      </c>
      <c r="C476" s="467" t="s">
        <v>628</v>
      </c>
      <c r="D476" s="467" t="s">
        <v>720</v>
      </c>
      <c r="E476" s="67" t="s">
        <v>713</v>
      </c>
      <c r="F476" s="67" t="s">
        <v>241</v>
      </c>
      <c r="G476" s="67" t="s">
        <v>718</v>
      </c>
      <c r="H476" s="67" t="s">
        <v>35</v>
      </c>
      <c r="I476" s="67" t="s">
        <v>70</v>
      </c>
      <c r="J476" s="67" t="s">
        <v>70</v>
      </c>
      <c r="K476" s="67">
        <v>18.5</v>
      </c>
      <c r="L476" s="299">
        <f t="shared" si="20"/>
        <v>200</v>
      </c>
      <c r="M476" s="221">
        <v>200</v>
      </c>
      <c r="N476" s="220" t="e">
        <f>IF(OR(M476="nio",M476="eigen dienst"),0,IF(M476&gt;0,M476*K476/O476,0))*VLOOKUP(B476,'2-Kosten per locatie'!$A$14:$C$33,3,FALSE)</f>
        <v>#DIV/0!</v>
      </c>
      <c r="O476" s="300">
        <f>IF(OR(M476="nio",M476="eigen dienst"),0,IF(M476&gt;0,VLOOKUP(H476,'3-Productie normen'!A:J,VLOOKUP(M476,'3-Productie normen'!$B$34:$C$35,2,FALSE),FALSE)))</f>
        <v>0</v>
      </c>
      <c r="P476" s="301" t="str">
        <f>VLOOKUP(H476,'3-Productie normen'!A:L,12,FALSE)</f>
        <v>B</v>
      </c>
      <c r="Q476" s="301"/>
      <c r="S476" s="302">
        <f t="shared" si="21"/>
        <v>3700</v>
      </c>
    </row>
    <row r="477" spans="1:19" ht="14.15" customHeight="1">
      <c r="A477" s="71">
        <v>477</v>
      </c>
      <c r="B477" s="67" t="s">
        <v>219</v>
      </c>
      <c r="C477" s="467" t="s">
        <v>628</v>
      </c>
      <c r="D477" s="467" t="s">
        <v>720</v>
      </c>
      <c r="E477" s="67" t="s">
        <v>713</v>
      </c>
      <c r="F477" s="67" t="s">
        <v>242</v>
      </c>
      <c r="G477" s="67" t="s">
        <v>512</v>
      </c>
      <c r="H477" s="67" t="s">
        <v>39</v>
      </c>
      <c r="I477" s="67" t="s">
        <v>70</v>
      </c>
      <c r="J477" s="67" t="s">
        <v>70</v>
      </c>
      <c r="K477" s="67">
        <v>70.400000000000006</v>
      </c>
      <c r="L477" s="299">
        <f t="shared" si="20"/>
        <v>200</v>
      </c>
      <c r="M477" s="221">
        <v>200</v>
      </c>
      <c r="N477" s="220" t="e">
        <f>IF(OR(M477="nio",M477="eigen dienst"),0,IF(M477&gt;0,M477*K477/O477,0))*VLOOKUP(B477,'2-Kosten per locatie'!$A$14:$C$33,3,FALSE)</f>
        <v>#DIV/0!</v>
      </c>
      <c r="O477" s="300">
        <f>IF(OR(M477="nio",M477="eigen dienst"),0,IF(M477&gt;0,VLOOKUP(H477,'3-Productie normen'!A:J,VLOOKUP(M477,'3-Productie normen'!$B$34:$C$35,2,FALSE),FALSE)))</f>
        <v>0</v>
      </c>
      <c r="P477" s="301" t="str">
        <f>VLOOKUP(H477,'3-Productie normen'!A:L,12,FALSE)</f>
        <v>V</v>
      </c>
      <c r="Q477" s="301"/>
      <c r="S477" s="302">
        <f t="shared" si="21"/>
        <v>14080.000000000002</v>
      </c>
    </row>
    <row r="478" spans="1:19" ht="14.15" customHeight="1">
      <c r="A478" s="71">
        <v>478</v>
      </c>
      <c r="B478" s="67" t="s">
        <v>219</v>
      </c>
      <c r="C478" s="467" t="s">
        <v>628</v>
      </c>
      <c r="D478" s="467" t="s">
        <v>720</v>
      </c>
      <c r="E478" s="67" t="s">
        <v>713</v>
      </c>
      <c r="F478" s="67" t="s">
        <v>243</v>
      </c>
      <c r="G478" s="67" t="s">
        <v>512</v>
      </c>
      <c r="H478" s="67" t="s">
        <v>39</v>
      </c>
      <c r="I478" s="67" t="s">
        <v>70</v>
      </c>
      <c r="J478" s="67" t="s">
        <v>70</v>
      </c>
      <c r="K478" s="67">
        <v>76.7</v>
      </c>
      <c r="L478" s="299">
        <f t="shared" si="20"/>
        <v>200</v>
      </c>
      <c r="M478" s="221">
        <v>200</v>
      </c>
      <c r="N478" s="220" t="e">
        <f>IF(OR(M478="nio",M478="eigen dienst"),0,IF(M478&gt;0,M478*K478/O478,0))*VLOOKUP(B478,'2-Kosten per locatie'!$A$14:$C$33,3,FALSE)</f>
        <v>#DIV/0!</v>
      </c>
      <c r="O478" s="300">
        <f>IF(OR(M478="nio",M478="eigen dienst"),0,IF(M478&gt;0,VLOOKUP(H478,'3-Productie normen'!A:J,VLOOKUP(M478,'3-Productie normen'!$B$34:$C$35,2,FALSE),FALSE)))</f>
        <v>0</v>
      </c>
      <c r="P478" s="301" t="str">
        <f>VLOOKUP(H478,'3-Productie normen'!A:L,12,FALSE)</f>
        <v>V</v>
      </c>
      <c r="Q478" s="301"/>
      <c r="S478" s="302">
        <f t="shared" si="21"/>
        <v>15340</v>
      </c>
    </row>
    <row r="479" spans="1:19" ht="14.15" customHeight="1">
      <c r="A479" s="71">
        <v>479</v>
      </c>
      <c r="B479" s="67" t="s">
        <v>219</v>
      </c>
      <c r="C479" s="467" t="s">
        <v>628</v>
      </c>
      <c r="D479" s="467" t="s">
        <v>720</v>
      </c>
      <c r="E479" s="67" t="s">
        <v>713</v>
      </c>
      <c r="F479" s="67" t="s">
        <v>244</v>
      </c>
      <c r="G479" s="67" t="s">
        <v>512</v>
      </c>
      <c r="H479" s="67" t="s">
        <v>39</v>
      </c>
      <c r="I479" s="67" t="s">
        <v>70</v>
      </c>
      <c r="J479" s="67" t="s">
        <v>70</v>
      </c>
      <c r="K479" s="67">
        <v>69.400000000000006</v>
      </c>
      <c r="L479" s="299">
        <f t="shared" si="20"/>
        <v>200</v>
      </c>
      <c r="M479" s="221">
        <v>200</v>
      </c>
      <c r="N479" s="220" t="e">
        <f>IF(OR(M479="nio",M479="eigen dienst"),0,IF(M479&gt;0,M479*K479/O479,0))*VLOOKUP(B479,'2-Kosten per locatie'!$A$14:$C$33,3,FALSE)</f>
        <v>#DIV/0!</v>
      </c>
      <c r="O479" s="300">
        <f>IF(OR(M479="nio",M479="eigen dienst"),0,IF(M479&gt;0,VLOOKUP(H479,'3-Productie normen'!A:J,VLOOKUP(M479,'3-Productie normen'!$B$34:$C$35,2,FALSE),FALSE)))</f>
        <v>0</v>
      </c>
      <c r="P479" s="301" t="str">
        <f>VLOOKUP(H479,'3-Productie normen'!A:L,12,FALSE)</f>
        <v>V</v>
      </c>
      <c r="Q479" s="301"/>
      <c r="S479" s="302">
        <f t="shared" si="21"/>
        <v>13880.000000000002</v>
      </c>
    </row>
    <row r="480" spans="1:19" ht="14.15" customHeight="1">
      <c r="A480" s="71">
        <v>480</v>
      </c>
      <c r="B480" s="67" t="s">
        <v>219</v>
      </c>
      <c r="C480" s="467" t="s">
        <v>628</v>
      </c>
      <c r="D480" s="467" t="s">
        <v>720</v>
      </c>
      <c r="E480" s="67" t="s">
        <v>713</v>
      </c>
      <c r="F480" s="67" t="s">
        <v>245</v>
      </c>
      <c r="G480" s="67" t="s">
        <v>512</v>
      </c>
      <c r="H480" s="67" t="s">
        <v>39</v>
      </c>
      <c r="I480" s="67" t="s">
        <v>70</v>
      </c>
      <c r="J480" s="67" t="s">
        <v>70</v>
      </c>
      <c r="K480" s="67">
        <v>54.9</v>
      </c>
      <c r="L480" s="299">
        <f t="shared" si="20"/>
        <v>200</v>
      </c>
      <c r="M480" s="221">
        <v>200</v>
      </c>
      <c r="N480" s="220" t="e">
        <f>IF(OR(M480="nio",M480="eigen dienst"),0,IF(M480&gt;0,M480*K480/O480,0))*VLOOKUP(B480,'2-Kosten per locatie'!$A$14:$C$33,3,FALSE)</f>
        <v>#DIV/0!</v>
      </c>
      <c r="O480" s="300">
        <f>IF(OR(M480="nio",M480="eigen dienst"),0,IF(M480&gt;0,VLOOKUP(H480,'3-Productie normen'!A:J,VLOOKUP(M480,'3-Productie normen'!$B$34:$C$35,2,FALSE),FALSE)))</f>
        <v>0</v>
      </c>
      <c r="P480" s="301" t="str">
        <f>VLOOKUP(H480,'3-Productie normen'!A:L,12,FALSE)</f>
        <v>V</v>
      </c>
      <c r="Q480" s="301"/>
      <c r="S480" s="302">
        <f t="shared" si="21"/>
        <v>10980</v>
      </c>
    </row>
    <row r="481" spans="1:19" ht="14.15" customHeight="1">
      <c r="A481" s="71">
        <v>481</v>
      </c>
      <c r="B481" s="67" t="s">
        <v>219</v>
      </c>
      <c r="C481" s="467" t="s">
        <v>628</v>
      </c>
      <c r="D481" s="467" t="s">
        <v>720</v>
      </c>
      <c r="E481" s="67" t="s">
        <v>713</v>
      </c>
      <c r="F481" s="67" t="s">
        <v>246</v>
      </c>
      <c r="G481" s="67" t="s">
        <v>520</v>
      </c>
      <c r="H481" s="67" t="s">
        <v>520</v>
      </c>
      <c r="I481" s="67" t="s">
        <v>70</v>
      </c>
      <c r="J481" s="67" t="s">
        <v>70</v>
      </c>
      <c r="K481" s="67">
        <v>135.69999999999999</v>
      </c>
      <c r="L481" s="299">
        <f t="shared" si="20"/>
        <v>200</v>
      </c>
      <c r="M481" s="221">
        <v>200</v>
      </c>
      <c r="N481" s="220" t="e">
        <f>IF(OR(M481="nio",M481="eigen dienst"),0,IF(M481&gt;0,M481*K481/O481,0))*VLOOKUP(B481,'2-Kosten per locatie'!$A$14:$C$33,3,FALSE)</f>
        <v>#DIV/0!</v>
      </c>
      <c r="O481" s="300">
        <f>IF(OR(M481="nio",M481="eigen dienst"),0,IF(M481&gt;0,VLOOKUP(H481,'3-Productie normen'!A:J,VLOOKUP(M481,'3-Productie normen'!$B$34:$C$35,2,FALSE),FALSE)))</f>
        <v>0</v>
      </c>
      <c r="P481" s="301" t="str">
        <f>VLOOKUP(H481,'3-Productie normen'!A:L,12,FALSE)</f>
        <v>V</v>
      </c>
      <c r="Q481" s="301"/>
      <c r="S481" s="302">
        <f t="shared" si="21"/>
        <v>27139.999999999996</v>
      </c>
    </row>
    <row r="482" spans="1:19" ht="14.15" customHeight="1">
      <c r="A482" s="71">
        <v>482</v>
      </c>
      <c r="B482" s="67" t="s">
        <v>219</v>
      </c>
      <c r="C482" s="467" t="s">
        <v>628</v>
      </c>
      <c r="D482" s="467" t="s">
        <v>720</v>
      </c>
      <c r="E482" s="67" t="s">
        <v>713</v>
      </c>
      <c r="F482" s="67" t="s">
        <v>247</v>
      </c>
      <c r="G482" s="67" t="s">
        <v>512</v>
      </c>
      <c r="H482" s="67" t="s">
        <v>39</v>
      </c>
      <c r="I482" s="67" t="s">
        <v>70</v>
      </c>
      <c r="J482" s="67" t="s">
        <v>70</v>
      </c>
      <c r="K482" s="67">
        <v>59.1</v>
      </c>
      <c r="L482" s="299">
        <f t="shared" si="20"/>
        <v>200</v>
      </c>
      <c r="M482" s="221">
        <v>200</v>
      </c>
      <c r="N482" s="220" t="e">
        <f>IF(OR(M482="nio",M482="eigen dienst"),0,IF(M482&gt;0,M482*K482/O482,0))*VLOOKUP(B482,'2-Kosten per locatie'!$A$14:$C$33,3,FALSE)</f>
        <v>#DIV/0!</v>
      </c>
      <c r="O482" s="300">
        <f>IF(OR(M482="nio",M482="eigen dienst"),0,IF(M482&gt;0,VLOOKUP(H482,'3-Productie normen'!A:J,VLOOKUP(M482,'3-Productie normen'!$B$34:$C$35,2,FALSE),FALSE)))</f>
        <v>0</v>
      </c>
      <c r="P482" s="301" t="str">
        <f>VLOOKUP(H482,'3-Productie normen'!A:L,12,FALSE)</f>
        <v>V</v>
      </c>
      <c r="Q482" s="301"/>
      <c r="S482" s="302">
        <f t="shared" si="21"/>
        <v>11820</v>
      </c>
    </row>
    <row r="483" spans="1:19" ht="14.15" customHeight="1">
      <c r="A483" s="71">
        <v>483</v>
      </c>
      <c r="B483" s="67" t="s">
        <v>219</v>
      </c>
      <c r="C483" s="467" t="s">
        <v>628</v>
      </c>
      <c r="D483" s="467" t="s">
        <v>720</v>
      </c>
      <c r="E483" s="67" t="s">
        <v>713</v>
      </c>
      <c r="F483" s="67" t="s">
        <v>222</v>
      </c>
      <c r="G483" s="67" t="s">
        <v>515</v>
      </c>
      <c r="H483" s="67" t="s">
        <v>609</v>
      </c>
      <c r="I483" s="67" t="s">
        <v>70</v>
      </c>
      <c r="J483" s="67" t="s">
        <v>70</v>
      </c>
      <c r="K483" s="67">
        <v>84</v>
      </c>
      <c r="L483" s="299">
        <f t="shared" si="20"/>
        <v>200</v>
      </c>
      <c r="M483" s="221">
        <v>200</v>
      </c>
      <c r="N483" s="220" t="e">
        <f>IF(OR(M483="nio",M483="eigen dienst"),0,IF(M483&gt;0,M483*K483/O483,0))*VLOOKUP(B483,'2-Kosten per locatie'!$A$14:$C$33,3,FALSE)</f>
        <v>#DIV/0!</v>
      </c>
      <c r="O483" s="300">
        <f>IF(OR(M483="nio",M483="eigen dienst"),0,IF(M483&gt;0,VLOOKUP(H483,'3-Productie normen'!A:J,VLOOKUP(M483,'3-Productie normen'!$B$34:$C$35,2,FALSE),FALSE)))</f>
        <v>0</v>
      </c>
      <c r="P483" s="301" t="str">
        <f>VLOOKUP(H483,'3-Productie normen'!A:L,12,FALSE)</f>
        <v>L</v>
      </c>
      <c r="Q483" s="301"/>
      <c r="S483" s="302">
        <f t="shared" si="21"/>
        <v>16800</v>
      </c>
    </row>
    <row r="484" spans="1:19" ht="14.15" customHeight="1">
      <c r="A484" s="71">
        <v>484</v>
      </c>
      <c r="B484" s="67" t="s">
        <v>219</v>
      </c>
      <c r="C484" s="467" t="s">
        <v>628</v>
      </c>
      <c r="D484" s="467" t="s">
        <v>720</v>
      </c>
      <c r="E484" s="67" t="s">
        <v>713</v>
      </c>
      <c r="F484" s="67" t="s">
        <v>248</v>
      </c>
      <c r="G484" s="67" t="s">
        <v>512</v>
      </c>
      <c r="H484" s="67" t="s">
        <v>39</v>
      </c>
      <c r="I484" s="67" t="s">
        <v>70</v>
      </c>
      <c r="J484" s="67" t="s">
        <v>70</v>
      </c>
      <c r="K484" s="67">
        <v>34.5</v>
      </c>
      <c r="L484" s="299">
        <f t="shared" si="20"/>
        <v>200</v>
      </c>
      <c r="M484" s="221">
        <v>200</v>
      </c>
      <c r="N484" s="220" t="e">
        <f>IF(OR(M484="nio",M484="eigen dienst"),0,IF(M484&gt;0,M484*K484/O484,0))*VLOOKUP(B484,'2-Kosten per locatie'!$A$14:$C$33,3,FALSE)</f>
        <v>#DIV/0!</v>
      </c>
      <c r="O484" s="300">
        <f>IF(OR(M484="nio",M484="eigen dienst"),0,IF(M484&gt;0,VLOOKUP(H484,'3-Productie normen'!A:J,VLOOKUP(M484,'3-Productie normen'!$B$34:$C$35,2,FALSE),FALSE)))</f>
        <v>0</v>
      </c>
      <c r="P484" s="301" t="str">
        <f>VLOOKUP(H484,'3-Productie normen'!A:L,12,FALSE)</f>
        <v>V</v>
      </c>
      <c r="Q484" s="301"/>
      <c r="S484" s="302">
        <f t="shared" si="21"/>
        <v>6900</v>
      </c>
    </row>
    <row r="485" spans="1:19" ht="14.15" customHeight="1">
      <c r="A485" s="71">
        <v>485</v>
      </c>
      <c r="B485" s="67" t="s">
        <v>219</v>
      </c>
      <c r="C485" s="467" t="s">
        <v>628</v>
      </c>
      <c r="D485" s="467" t="s">
        <v>720</v>
      </c>
      <c r="E485" s="67" t="s">
        <v>713</v>
      </c>
      <c r="F485" s="67" t="s">
        <v>249</v>
      </c>
      <c r="G485" s="67" t="s">
        <v>578</v>
      </c>
      <c r="H485" s="67" t="s">
        <v>39</v>
      </c>
      <c r="I485" s="67" t="s">
        <v>70</v>
      </c>
      <c r="J485" s="67" t="s">
        <v>70</v>
      </c>
      <c r="K485" s="67">
        <v>36.6</v>
      </c>
      <c r="L485" s="299">
        <f t="shared" si="20"/>
        <v>200</v>
      </c>
      <c r="M485" s="221">
        <v>200</v>
      </c>
      <c r="N485" s="220" t="e">
        <f>IF(OR(M485="nio",M485="eigen dienst"),0,IF(M485&gt;0,M485*K485/O485,0))*VLOOKUP(B485,'2-Kosten per locatie'!$A$14:$C$33,3,FALSE)</f>
        <v>#DIV/0!</v>
      </c>
      <c r="O485" s="300">
        <f>IF(OR(M485="nio",M485="eigen dienst"),0,IF(M485&gt;0,VLOOKUP(H485,'3-Productie normen'!A:J,VLOOKUP(M485,'3-Productie normen'!$B$34:$C$35,2,FALSE),FALSE)))</f>
        <v>0</v>
      </c>
      <c r="P485" s="301" t="str">
        <f>VLOOKUP(H485,'3-Productie normen'!A:L,12,FALSE)</f>
        <v>V</v>
      </c>
      <c r="Q485" s="301"/>
      <c r="S485" s="302">
        <f t="shared" si="21"/>
        <v>7320</v>
      </c>
    </row>
    <row r="486" spans="1:19" ht="14.15" customHeight="1">
      <c r="A486" s="71">
        <v>486</v>
      </c>
      <c r="B486" s="67" t="s">
        <v>219</v>
      </c>
      <c r="C486" s="467" t="s">
        <v>628</v>
      </c>
      <c r="D486" s="467" t="s">
        <v>720</v>
      </c>
      <c r="E486" s="67" t="s">
        <v>713</v>
      </c>
      <c r="F486" s="67" t="s">
        <v>250</v>
      </c>
      <c r="G486" s="67" t="s">
        <v>47</v>
      </c>
      <c r="H486" s="67" t="s">
        <v>47</v>
      </c>
      <c r="I486" s="67" t="s">
        <v>597</v>
      </c>
      <c r="J486" s="67" t="s">
        <v>201</v>
      </c>
      <c r="K486" s="67">
        <v>20.5</v>
      </c>
      <c r="L486" s="299">
        <f t="shared" si="20"/>
        <v>200</v>
      </c>
      <c r="M486" s="221">
        <v>200</v>
      </c>
      <c r="N486" s="220" t="e">
        <f>IF(OR(M486="nio",M486="eigen dienst"),0,IF(M486&gt;0,M486*K486/O486,0))*VLOOKUP(B486,'2-Kosten per locatie'!$A$14:$C$33,3,FALSE)</f>
        <v>#DIV/0!</v>
      </c>
      <c r="O486" s="300">
        <f>IF(OR(M486="nio",M486="eigen dienst"),0,IF(M486&gt;0,VLOOKUP(H486,'3-Productie normen'!A:J,VLOOKUP(M486,'3-Productie normen'!$B$34:$C$35,2,FALSE),FALSE)))</f>
        <v>0</v>
      </c>
      <c r="P486" s="301" t="str">
        <f>VLOOKUP(H486,'3-Productie normen'!A:L,12,FALSE)</f>
        <v>V</v>
      </c>
      <c r="Q486" s="301"/>
      <c r="S486" s="302">
        <f t="shared" si="21"/>
        <v>4100</v>
      </c>
    </row>
    <row r="487" spans="1:19" ht="14.15" customHeight="1">
      <c r="A487" s="71">
        <v>487</v>
      </c>
      <c r="B487" s="67" t="s">
        <v>219</v>
      </c>
      <c r="C487" s="467" t="s">
        <v>628</v>
      </c>
      <c r="D487" s="467" t="s">
        <v>720</v>
      </c>
      <c r="E487" s="67" t="s">
        <v>713</v>
      </c>
      <c r="F487" s="67" t="s">
        <v>251</v>
      </c>
      <c r="G487" s="67" t="s">
        <v>512</v>
      </c>
      <c r="H487" s="67" t="s">
        <v>39</v>
      </c>
      <c r="I487" s="67" t="s">
        <v>70</v>
      </c>
      <c r="J487" s="67" t="s">
        <v>70</v>
      </c>
      <c r="K487" s="67">
        <v>22.6</v>
      </c>
      <c r="L487" s="299">
        <f t="shared" si="20"/>
        <v>200</v>
      </c>
      <c r="M487" s="221">
        <v>200</v>
      </c>
      <c r="N487" s="220" t="e">
        <f>IF(OR(M487="nio",M487="eigen dienst"),0,IF(M487&gt;0,M487*K487/O487,0))*VLOOKUP(B487,'2-Kosten per locatie'!$A$14:$C$33,3,FALSE)</f>
        <v>#DIV/0!</v>
      </c>
      <c r="O487" s="300">
        <f>IF(OR(M487="nio",M487="eigen dienst"),0,IF(M487&gt;0,VLOOKUP(H487,'3-Productie normen'!A:J,VLOOKUP(M487,'3-Productie normen'!$B$34:$C$35,2,FALSE),FALSE)))</f>
        <v>0</v>
      </c>
      <c r="P487" s="301" t="str">
        <f>VLOOKUP(H487,'3-Productie normen'!A:L,12,FALSE)</f>
        <v>V</v>
      </c>
      <c r="Q487" s="301"/>
      <c r="S487" s="302">
        <f t="shared" si="21"/>
        <v>4520</v>
      </c>
    </row>
    <row r="488" spans="1:19" ht="14.15" customHeight="1">
      <c r="A488" s="71">
        <v>488</v>
      </c>
      <c r="B488" s="67" t="s">
        <v>219</v>
      </c>
      <c r="C488" s="467" t="s">
        <v>628</v>
      </c>
      <c r="D488" s="467" t="s">
        <v>720</v>
      </c>
      <c r="E488" s="67" t="s">
        <v>713</v>
      </c>
      <c r="F488" s="67" t="s">
        <v>252</v>
      </c>
      <c r="G488" s="67" t="s">
        <v>563</v>
      </c>
      <c r="H488" s="67" t="s">
        <v>47</v>
      </c>
      <c r="I488" s="67" t="s">
        <v>597</v>
      </c>
      <c r="J488" s="67" t="s">
        <v>201</v>
      </c>
      <c r="K488" s="67">
        <v>3.9</v>
      </c>
      <c r="L488" s="299">
        <f t="shared" si="20"/>
        <v>200</v>
      </c>
      <c r="M488" s="221">
        <v>200</v>
      </c>
      <c r="N488" s="220" t="e">
        <f>IF(OR(M488="nio",M488="eigen dienst"),0,IF(M488&gt;0,M488*K488/O488,0))*VLOOKUP(B488,'2-Kosten per locatie'!$A$14:$C$33,3,FALSE)</f>
        <v>#DIV/0!</v>
      </c>
      <c r="O488" s="300">
        <f>IF(OR(M488="nio",M488="eigen dienst"),0,IF(M488&gt;0,VLOOKUP(H488,'3-Productie normen'!A:J,VLOOKUP(M488,'3-Productie normen'!$B$34:$C$35,2,FALSE),FALSE)))</f>
        <v>0</v>
      </c>
      <c r="P488" s="301" t="str">
        <f>VLOOKUP(H488,'3-Productie normen'!A:L,12,FALSE)</f>
        <v>V</v>
      </c>
      <c r="Q488" s="301"/>
      <c r="S488" s="302">
        <f t="shared" si="21"/>
        <v>780</v>
      </c>
    </row>
    <row r="489" spans="1:19" ht="14.15" customHeight="1">
      <c r="A489" s="71">
        <v>489</v>
      </c>
      <c r="B489" s="67" t="s">
        <v>219</v>
      </c>
      <c r="C489" s="467" t="s">
        <v>628</v>
      </c>
      <c r="D489" s="467" t="s">
        <v>720</v>
      </c>
      <c r="E489" s="67" t="s">
        <v>713</v>
      </c>
      <c r="F489" s="67" t="s">
        <v>253</v>
      </c>
      <c r="G489" s="67" t="s">
        <v>514</v>
      </c>
      <c r="H489" s="67" t="s">
        <v>37</v>
      </c>
      <c r="I489" s="67" t="s">
        <v>70</v>
      </c>
      <c r="J489" s="67" t="s">
        <v>70</v>
      </c>
      <c r="K489" s="67">
        <v>5.9</v>
      </c>
      <c r="L489" s="299">
        <f t="shared" si="20"/>
        <v>200</v>
      </c>
      <c r="M489" s="221">
        <v>200</v>
      </c>
      <c r="N489" s="220" t="e">
        <f>IF(OR(M489="nio",M489="eigen dienst"),0,IF(M489&gt;0,M489*K489/O489,0))*VLOOKUP(B489,'2-Kosten per locatie'!$A$14:$C$33,3,FALSE)</f>
        <v>#DIV/0!</v>
      </c>
      <c r="O489" s="300">
        <f>IF(OR(M489="nio",M489="eigen dienst"),0,IF(M489&gt;0,VLOOKUP(H489,'3-Productie normen'!A:J,VLOOKUP(M489,'3-Productie normen'!$B$34:$C$35,2,FALSE),FALSE)))</f>
        <v>0</v>
      </c>
      <c r="P489" s="301" t="str">
        <f>VLOOKUP(H489,'3-Productie normen'!A:L,12,FALSE)</f>
        <v>S</v>
      </c>
      <c r="Q489" s="301"/>
      <c r="S489" s="302">
        <f t="shared" si="21"/>
        <v>1180</v>
      </c>
    </row>
    <row r="490" spans="1:19" ht="14.15" customHeight="1">
      <c r="A490" s="71">
        <v>490</v>
      </c>
      <c r="B490" s="67" t="s">
        <v>219</v>
      </c>
      <c r="C490" s="467" t="s">
        <v>628</v>
      </c>
      <c r="D490" s="467" t="s">
        <v>720</v>
      </c>
      <c r="E490" s="67" t="s">
        <v>713</v>
      </c>
      <c r="F490" s="67" t="s">
        <v>254</v>
      </c>
      <c r="G490" s="67" t="s">
        <v>514</v>
      </c>
      <c r="H490" s="67" t="s">
        <v>37</v>
      </c>
      <c r="I490" s="67" t="s">
        <v>70</v>
      </c>
      <c r="J490" s="67" t="s">
        <v>70</v>
      </c>
      <c r="K490" s="67">
        <v>5.9</v>
      </c>
      <c r="L490" s="299">
        <f t="shared" si="20"/>
        <v>200</v>
      </c>
      <c r="M490" s="221">
        <v>200</v>
      </c>
      <c r="N490" s="220" t="e">
        <f>IF(OR(M490="nio",M490="eigen dienst"),0,IF(M490&gt;0,M490*K490/O490,0))*VLOOKUP(B490,'2-Kosten per locatie'!$A$14:$C$33,3,FALSE)</f>
        <v>#DIV/0!</v>
      </c>
      <c r="O490" s="300">
        <f>IF(OR(M490="nio",M490="eigen dienst"),0,IF(M490&gt;0,VLOOKUP(H490,'3-Productie normen'!A:J,VLOOKUP(M490,'3-Productie normen'!$B$34:$C$35,2,FALSE),FALSE)))</f>
        <v>0</v>
      </c>
      <c r="P490" s="301" t="str">
        <f>VLOOKUP(H490,'3-Productie normen'!A:L,12,FALSE)</f>
        <v>S</v>
      </c>
      <c r="Q490" s="301"/>
      <c r="S490" s="302">
        <f t="shared" si="21"/>
        <v>1180</v>
      </c>
    </row>
    <row r="491" spans="1:19" ht="14.15" customHeight="1">
      <c r="A491" s="71">
        <v>491</v>
      </c>
      <c r="B491" s="67" t="s">
        <v>219</v>
      </c>
      <c r="C491" s="467" t="s">
        <v>628</v>
      </c>
      <c r="D491" s="467" t="s">
        <v>720</v>
      </c>
      <c r="E491" s="67" t="s">
        <v>713</v>
      </c>
      <c r="F491" s="67" t="s">
        <v>255</v>
      </c>
      <c r="G491" s="67" t="s">
        <v>514</v>
      </c>
      <c r="H491" s="67" t="s">
        <v>37</v>
      </c>
      <c r="I491" s="67" t="s">
        <v>70</v>
      </c>
      <c r="J491" s="67" t="s">
        <v>70</v>
      </c>
      <c r="K491" s="67">
        <v>5.9</v>
      </c>
      <c r="L491" s="299">
        <f t="shared" si="20"/>
        <v>200</v>
      </c>
      <c r="M491" s="221">
        <v>200</v>
      </c>
      <c r="N491" s="220" t="e">
        <f>IF(OR(M491="nio",M491="eigen dienst"),0,IF(M491&gt;0,M491*K491/O491,0))*VLOOKUP(B491,'2-Kosten per locatie'!$A$14:$C$33,3,FALSE)</f>
        <v>#DIV/0!</v>
      </c>
      <c r="O491" s="300">
        <f>IF(OR(M491="nio",M491="eigen dienst"),0,IF(M491&gt;0,VLOOKUP(H491,'3-Productie normen'!A:J,VLOOKUP(M491,'3-Productie normen'!$B$34:$C$35,2,FALSE),FALSE)))</f>
        <v>0</v>
      </c>
      <c r="P491" s="301" t="str">
        <f>VLOOKUP(H491,'3-Productie normen'!A:L,12,FALSE)</f>
        <v>S</v>
      </c>
      <c r="Q491" s="301"/>
      <c r="S491" s="302">
        <f t="shared" si="21"/>
        <v>1180</v>
      </c>
    </row>
    <row r="492" spans="1:19" ht="14.15" customHeight="1">
      <c r="A492" s="71">
        <v>492</v>
      </c>
      <c r="B492" s="67" t="s">
        <v>219</v>
      </c>
      <c r="C492" s="467" t="s">
        <v>628</v>
      </c>
      <c r="D492" s="467" t="s">
        <v>720</v>
      </c>
      <c r="E492" s="67" t="s">
        <v>713</v>
      </c>
      <c r="F492" s="67" t="s">
        <v>256</v>
      </c>
      <c r="G492" s="67" t="s">
        <v>514</v>
      </c>
      <c r="H492" s="67" t="s">
        <v>37</v>
      </c>
      <c r="I492" s="67" t="s">
        <v>601</v>
      </c>
      <c r="J492" s="67" t="s">
        <v>179</v>
      </c>
      <c r="K492" s="67">
        <v>5.7</v>
      </c>
      <c r="L492" s="299">
        <f t="shared" si="20"/>
        <v>200</v>
      </c>
      <c r="M492" s="221">
        <v>200</v>
      </c>
      <c r="N492" s="220" t="e">
        <f>IF(OR(M492="nio",M492="eigen dienst"),0,IF(M492&gt;0,M492*K492/O492,0))*VLOOKUP(B492,'2-Kosten per locatie'!$A$14:$C$33,3,FALSE)</f>
        <v>#DIV/0!</v>
      </c>
      <c r="O492" s="300">
        <f>IF(OR(M492="nio",M492="eigen dienst"),0,IF(M492&gt;0,VLOOKUP(H492,'3-Productie normen'!A:J,VLOOKUP(M492,'3-Productie normen'!$B$34:$C$35,2,FALSE),FALSE)))</f>
        <v>0</v>
      </c>
      <c r="P492" s="301" t="str">
        <f>VLOOKUP(H492,'3-Productie normen'!A:L,12,FALSE)</f>
        <v>S</v>
      </c>
      <c r="Q492" s="301"/>
      <c r="S492" s="302">
        <f t="shared" si="21"/>
        <v>1140</v>
      </c>
    </row>
    <row r="493" spans="1:19" ht="14.15" customHeight="1">
      <c r="A493" s="71">
        <v>493</v>
      </c>
      <c r="B493" s="67" t="s">
        <v>219</v>
      </c>
      <c r="C493" s="467" t="s">
        <v>628</v>
      </c>
      <c r="D493" s="467" t="s">
        <v>720</v>
      </c>
      <c r="E493" s="67" t="s">
        <v>713</v>
      </c>
      <c r="F493" s="67" t="s">
        <v>257</v>
      </c>
      <c r="G493" s="67" t="s">
        <v>514</v>
      </c>
      <c r="H493" s="67" t="s">
        <v>37</v>
      </c>
      <c r="I493" s="67" t="s">
        <v>601</v>
      </c>
      <c r="J493" s="67" t="s">
        <v>179</v>
      </c>
      <c r="K493" s="67">
        <v>5.3</v>
      </c>
      <c r="L493" s="299">
        <f t="shared" si="20"/>
        <v>200</v>
      </c>
      <c r="M493" s="221">
        <v>200</v>
      </c>
      <c r="N493" s="220" t="e">
        <f>IF(OR(M493="nio",M493="eigen dienst"),0,IF(M493&gt;0,M493*K493/O493,0))*VLOOKUP(B493,'2-Kosten per locatie'!$A$14:$C$33,3,FALSE)</f>
        <v>#DIV/0!</v>
      </c>
      <c r="O493" s="300">
        <f>IF(OR(M493="nio",M493="eigen dienst"),0,IF(M493&gt;0,VLOOKUP(H493,'3-Productie normen'!A:J,VLOOKUP(M493,'3-Productie normen'!$B$34:$C$35,2,FALSE),FALSE)))</f>
        <v>0</v>
      </c>
      <c r="P493" s="301" t="str">
        <f>VLOOKUP(H493,'3-Productie normen'!A:L,12,FALSE)</f>
        <v>S</v>
      </c>
      <c r="Q493" s="301"/>
      <c r="S493" s="302">
        <f t="shared" si="21"/>
        <v>1060</v>
      </c>
    </row>
    <row r="494" spans="1:19" ht="14.15" customHeight="1">
      <c r="A494" s="71">
        <v>494</v>
      </c>
      <c r="B494" s="67" t="s">
        <v>219</v>
      </c>
      <c r="C494" s="467" t="s">
        <v>628</v>
      </c>
      <c r="D494" s="467" t="s">
        <v>720</v>
      </c>
      <c r="E494" s="67" t="s">
        <v>713</v>
      </c>
      <c r="F494" s="67" t="s">
        <v>223</v>
      </c>
      <c r="G494" s="67" t="s">
        <v>515</v>
      </c>
      <c r="H494" s="67" t="s">
        <v>609</v>
      </c>
      <c r="I494" s="67" t="s">
        <v>70</v>
      </c>
      <c r="J494" s="67" t="s">
        <v>70</v>
      </c>
      <c r="K494" s="67">
        <v>54.8</v>
      </c>
      <c r="L494" s="299">
        <f t="shared" si="20"/>
        <v>200</v>
      </c>
      <c r="M494" s="221">
        <v>200</v>
      </c>
      <c r="N494" s="220" t="e">
        <f>IF(OR(M494="nio",M494="eigen dienst"),0,IF(M494&gt;0,M494*K494/O494,0))*VLOOKUP(B494,'2-Kosten per locatie'!$A$14:$C$33,3,FALSE)</f>
        <v>#DIV/0!</v>
      </c>
      <c r="O494" s="300">
        <f>IF(OR(M494="nio",M494="eigen dienst"),0,IF(M494&gt;0,VLOOKUP(H494,'3-Productie normen'!A:J,VLOOKUP(M494,'3-Productie normen'!$B$34:$C$35,2,FALSE),FALSE)))</f>
        <v>0</v>
      </c>
      <c r="P494" s="301" t="str">
        <f>VLOOKUP(H494,'3-Productie normen'!A:L,12,FALSE)</f>
        <v>L</v>
      </c>
      <c r="Q494" s="301"/>
      <c r="S494" s="302">
        <f t="shared" si="21"/>
        <v>10960</v>
      </c>
    </row>
    <row r="495" spans="1:19" ht="14.15" customHeight="1">
      <c r="A495" s="71">
        <v>495</v>
      </c>
      <c r="B495" s="67" t="s">
        <v>219</v>
      </c>
      <c r="C495" s="467" t="s">
        <v>628</v>
      </c>
      <c r="D495" s="467" t="s">
        <v>720</v>
      </c>
      <c r="E495" s="67" t="s">
        <v>713</v>
      </c>
      <c r="F495" s="67" t="s">
        <v>258</v>
      </c>
      <c r="G495" s="67" t="s">
        <v>539</v>
      </c>
      <c r="H495" s="67" t="s">
        <v>37</v>
      </c>
      <c r="I495" s="67" t="s">
        <v>601</v>
      </c>
      <c r="J495" s="67" t="s">
        <v>179</v>
      </c>
      <c r="K495" s="67">
        <v>3.9</v>
      </c>
      <c r="L495" s="299">
        <f t="shared" si="20"/>
        <v>200</v>
      </c>
      <c r="M495" s="221">
        <v>200</v>
      </c>
      <c r="N495" s="220" t="e">
        <f>IF(OR(M495="nio",M495="eigen dienst"),0,IF(M495&gt;0,M495*K495/O495,0))*VLOOKUP(B495,'2-Kosten per locatie'!$A$14:$C$33,3,FALSE)</f>
        <v>#DIV/0!</v>
      </c>
      <c r="O495" s="300">
        <f>IF(OR(M495="nio",M495="eigen dienst"),0,IF(M495&gt;0,VLOOKUP(H495,'3-Productie normen'!A:J,VLOOKUP(M495,'3-Productie normen'!$B$34:$C$35,2,FALSE),FALSE)))</f>
        <v>0</v>
      </c>
      <c r="P495" s="301" t="str">
        <f>VLOOKUP(H495,'3-Productie normen'!A:L,12,FALSE)</f>
        <v>S</v>
      </c>
      <c r="Q495" s="301"/>
      <c r="S495" s="302">
        <f t="shared" si="21"/>
        <v>780</v>
      </c>
    </row>
    <row r="496" spans="1:19" ht="14.15" customHeight="1">
      <c r="A496" s="71">
        <v>496</v>
      </c>
      <c r="B496" s="67" t="s">
        <v>219</v>
      </c>
      <c r="C496" s="467" t="s">
        <v>628</v>
      </c>
      <c r="D496" s="467" t="s">
        <v>720</v>
      </c>
      <c r="E496" s="67" t="s">
        <v>713</v>
      </c>
      <c r="F496" s="67" t="s">
        <v>259</v>
      </c>
      <c r="G496" s="67" t="s">
        <v>514</v>
      </c>
      <c r="H496" s="67" t="s">
        <v>37</v>
      </c>
      <c r="I496" s="67" t="s">
        <v>601</v>
      </c>
      <c r="J496" s="67" t="s">
        <v>179</v>
      </c>
      <c r="K496" s="67">
        <v>10.199999999999999</v>
      </c>
      <c r="L496" s="299">
        <f t="shared" si="20"/>
        <v>200</v>
      </c>
      <c r="M496" s="221">
        <v>200</v>
      </c>
      <c r="N496" s="220" t="e">
        <f>IF(OR(M496="nio",M496="eigen dienst"),0,IF(M496&gt;0,M496*K496/O496,0))*VLOOKUP(B496,'2-Kosten per locatie'!$A$14:$C$33,3,FALSE)</f>
        <v>#DIV/0!</v>
      </c>
      <c r="O496" s="300">
        <f>IF(OR(M496="nio",M496="eigen dienst"),0,IF(M496&gt;0,VLOOKUP(H496,'3-Productie normen'!A:J,VLOOKUP(M496,'3-Productie normen'!$B$34:$C$35,2,FALSE),FALSE)))</f>
        <v>0</v>
      </c>
      <c r="P496" s="301" t="str">
        <f>VLOOKUP(H496,'3-Productie normen'!A:L,12,FALSE)</f>
        <v>S</v>
      </c>
      <c r="Q496" s="301"/>
      <c r="S496" s="302">
        <f t="shared" si="21"/>
        <v>2039.9999999999998</v>
      </c>
    </row>
    <row r="497" spans="1:19" ht="14.15" customHeight="1">
      <c r="A497" s="71">
        <v>497</v>
      </c>
      <c r="B497" s="67" t="s">
        <v>219</v>
      </c>
      <c r="C497" s="467" t="s">
        <v>628</v>
      </c>
      <c r="D497" s="467" t="s">
        <v>720</v>
      </c>
      <c r="E497" s="67" t="s">
        <v>713</v>
      </c>
      <c r="F497" s="67" t="s">
        <v>261</v>
      </c>
      <c r="G497" s="67" t="s">
        <v>514</v>
      </c>
      <c r="H497" s="67" t="s">
        <v>37</v>
      </c>
      <c r="I497" s="67" t="s">
        <v>601</v>
      </c>
      <c r="J497" s="67" t="s">
        <v>179</v>
      </c>
      <c r="K497" s="67">
        <v>8.5</v>
      </c>
      <c r="L497" s="299">
        <f t="shared" si="20"/>
        <v>200</v>
      </c>
      <c r="M497" s="221">
        <v>200</v>
      </c>
      <c r="N497" s="220" t="e">
        <f>IF(OR(M497="nio",M497="eigen dienst"),0,IF(M497&gt;0,M497*K497/O497,0))*VLOOKUP(B497,'2-Kosten per locatie'!$A$14:$C$33,3,FALSE)</f>
        <v>#DIV/0!</v>
      </c>
      <c r="O497" s="300">
        <f>IF(OR(M497="nio",M497="eigen dienst"),0,IF(M497&gt;0,VLOOKUP(H497,'3-Productie normen'!A:J,VLOOKUP(M497,'3-Productie normen'!$B$34:$C$35,2,FALSE),FALSE)))</f>
        <v>0</v>
      </c>
      <c r="P497" s="301" t="str">
        <f>VLOOKUP(H497,'3-Productie normen'!A:L,12,FALSE)</f>
        <v>S</v>
      </c>
      <c r="Q497" s="301"/>
      <c r="S497" s="302">
        <f t="shared" si="21"/>
        <v>1700</v>
      </c>
    </row>
    <row r="498" spans="1:19" ht="14.15" customHeight="1">
      <c r="A498" s="71">
        <v>498</v>
      </c>
      <c r="B498" s="67" t="s">
        <v>219</v>
      </c>
      <c r="C498" s="467" t="s">
        <v>628</v>
      </c>
      <c r="D498" s="467" t="s">
        <v>720</v>
      </c>
      <c r="E498" s="67" t="s">
        <v>713</v>
      </c>
      <c r="F498" s="67" t="s">
        <v>262</v>
      </c>
      <c r="G498" s="67" t="s">
        <v>514</v>
      </c>
      <c r="H498" s="67" t="s">
        <v>37</v>
      </c>
      <c r="I498" s="67" t="s">
        <v>601</v>
      </c>
      <c r="J498" s="67" t="s">
        <v>179</v>
      </c>
      <c r="K498" s="67">
        <v>8.5</v>
      </c>
      <c r="L498" s="299">
        <f t="shared" si="20"/>
        <v>200</v>
      </c>
      <c r="M498" s="221">
        <v>200</v>
      </c>
      <c r="N498" s="220" t="e">
        <f>IF(OR(M498="nio",M498="eigen dienst"),0,IF(M498&gt;0,M498*K498/O498,0))*VLOOKUP(B498,'2-Kosten per locatie'!$A$14:$C$33,3,FALSE)</f>
        <v>#DIV/0!</v>
      </c>
      <c r="O498" s="300">
        <f>IF(OR(M498="nio",M498="eigen dienst"),0,IF(M498&gt;0,VLOOKUP(H498,'3-Productie normen'!A:J,VLOOKUP(M498,'3-Productie normen'!$B$34:$C$35,2,FALSE),FALSE)))</f>
        <v>0</v>
      </c>
      <c r="P498" s="301" t="str">
        <f>VLOOKUP(H498,'3-Productie normen'!A:L,12,FALSE)</f>
        <v>S</v>
      </c>
      <c r="Q498" s="301"/>
      <c r="S498" s="302">
        <f t="shared" si="21"/>
        <v>1700</v>
      </c>
    </row>
    <row r="499" spans="1:19" ht="14.15" customHeight="1">
      <c r="A499" s="71">
        <v>499</v>
      </c>
      <c r="B499" s="67" t="s">
        <v>219</v>
      </c>
      <c r="C499" s="467" t="s">
        <v>628</v>
      </c>
      <c r="D499" s="467" t="s">
        <v>720</v>
      </c>
      <c r="E499" s="67" t="s">
        <v>713</v>
      </c>
      <c r="F499" s="67" t="s">
        <v>263</v>
      </c>
      <c r="G499" s="67" t="s">
        <v>514</v>
      </c>
      <c r="H499" s="67" t="s">
        <v>37</v>
      </c>
      <c r="I499" s="67" t="s">
        <v>601</v>
      </c>
      <c r="J499" s="67" t="s">
        <v>179</v>
      </c>
      <c r="K499" s="67">
        <v>5</v>
      </c>
      <c r="L499" s="299">
        <f t="shared" si="20"/>
        <v>200</v>
      </c>
      <c r="M499" s="221">
        <v>200</v>
      </c>
      <c r="N499" s="220" t="e">
        <f>IF(OR(M499="nio",M499="eigen dienst"),0,IF(M499&gt;0,M499*K499/O499,0))*VLOOKUP(B499,'2-Kosten per locatie'!$A$14:$C$33,3,FALSE)</f>
        <v>#DIV/0!</v>
      </c>
      <c r="O499" s="300">
        <f>IF(OR(M499="nio",M499="eigen dienst"),0,IF(M499&gt;0,VLOOKUP(H499,'3-Productie normen'!A:J,VLOOKUP(M499,'3-Productie normen'!$B$34:$C$35,2,FALSE),FALSE)))</f>
        <v>0</v>
      </c>
      <c r="P499" s="301" t="str">
        <f>VLOOKUP(H499,'3-Productie normen'!A:L,12,FALSE)</f>
        <v>S</v>
      </c>
      <c r="Q499" s="301"/>
      <c r="S499" s="302">
        <f t="shared" si="21"/>
        <v>1000</v>
      </c>
    </row>
    <row r="500" spans="1:19" ht="14.15" customHeight="1">
      <c r="A500" s="71">
        <v>500</v>
      </c>
      <c r="B500" s="67" t="s">
        <v>219</v>
      </c>
      <c r="C500" s="467" t="s">
        <v>628</v>
      </c>
      <c r="D500" s="467" t="s">
        <v>720</v>
      </c>
      <c r="E500" s="67" t="s">
        <v>713</v>
      </c>
      <c r="F500" s="67" t="s">
        <v>264</v>
      </c>
      <c r="G500" s="67" t="s">
        <v>514</v>
      </c>
      <c r="H500" s="67" t="s">
        <v>37</v>
      </c>
      <c r="I500" s="67" t="s">
        <v>601</v>
      </c>
      <c r="J500" s="56" t="s">
        <v>179</v>
      </c>
      <c r="K500" s="67">
        <v>2.8</v>
      </c>
      <c r="L500" s="299">
        <f t="shared" si="20"/>
        <v>200</v>
      </c>
      <c r="M500" s="221">
        <v>200</v>
      </c>
      <c r="N500" s="220" t="e">
        <f>IF(OR(M500="nio",M500="eigen dienst"),0,IF(M500&gt;0,M500*K500/O500,0))*VLOOKUP(B500,'2-Kosten per locatie'!$A$14:$C$33,3,FALSE)</f>
        <v>#DIV/0!</v>
      </c>
      <c r="O500" s="300">
        <f>IF(OR(M500="nio",M500="eigen dienst"),0,IF(M500&gt;0,VLOOKUP(H500,'3-Productie normen'!A:J,VLOOKUP(M500,'3-Productie normen'!$B$34:$C$35,2,FALSE),FALSE)))</f>
        <v>0</v>
      </c>
      <c r="P500" s="301" t="str">
        <f>VLOOKUP(H500,'3-Productie normen'!A:L,12,FALSE)</f>
        <v>S</v>
      </c>
      <c r="Q500" s="301"/>
      <c r="S500" s="302">
        <f t="shared" si="21"/>
        <v>560</v>
      </c>
    </row>
    <row r="501" spans="1:19" ht="14.15" customHeight="1">
      <c r="A501" s="71">
        <v>501</v>
      </c>
      <c r="B501" s="67" t="s">
        <v>219</v>
      </c>
      <c r="C501" s="467" t="s">
        <v>628</v>
      </c>
      <c r="D501" s="467" t="s">
        <v>720</v>
      </c>
      <c r="E501" s="67" t="s">
        <v>713</v>
      </c>
      <c r="F501" s="67" t="s">
        <v>292</v>
      </c>
      <c r="G501" s="67" t="s">
        <v>518</v>
      </c>
      <c r="H501" s="67" t="s">
        <v>630</v>
      </c>
      <c r="I501" s="67" t="s">
        <v>70</v>
      </c>
      <c r="J501" s="67" t="s">
        <v>70</v>
      </c>
      <c r="K501" s="67">
        <v>10.4</v>
      </c>
      <c r="L501" s="299">
        <f t="shared" si="20"/>
        <v>0</v>
      </c>
      <c r="M501" s="221" t="s">
        <v>629</v>
      </c>
      <c r="N501" s="220">
        <f>IF(OR(M501="nio",M501="eigen dienst"),0,IF(M501&gt;0,M501*K501/O501,0))*VLOOKUP(B501,'2-Kosten per locatie'!$A$14:$C$33,3,FALSE)</f>
        <v>0</v>
      </c>
      <c r="O501" s="300">
        <f>IF(OR(M501="nio",M501="eigen dienst"),0,IF(M501&gt;0,VLOOKUP(H501,'3-Productie normen'!A:J,VLOOKUP(M501,'3-Productie normen'!$B$34:$C$35,2,FALSE),FALSE)))</f>
        <v>0</v>
      </c>
      <c r="P501" s="301">
        <f>VLOOKUP(H501,'3-Productie normen'!A:L,12,FALSE)</f>
        <v>0</v>
      </c>
      <c r="Q501" s="301"/>
      <c r="S501" s="302">
        <f t="shared" si="21"/>
        <v>0</v>
      </c>
    </row>
    <row r="502" spans="1:19" ht="14.15" customHeight="1">
      <c r="A502" s="71">
        <v>502</v>
      </c>
      <c r="B502" s="67" t="s">
        <v>219</v>
      </c>
      <c r="C502" s="467" t="s">
        <v>628</v>
      </c>
      <c r="D502" s="467" t="s">
        <v>720</v>
      </c>
      <c r="E502" s="67" t="s">
        <v>713</v>
      </c>
      <c r="F502" s="67" t="s">
        <v>293</v>
      </c>
      <c r="G502" s="67" t="s">
        <v>518</v>
      </c>
      <c r="H502" s="67" t="s">
        <v>630</v>
      </c>
      <c r="I502" s="67" t="s">
        <v>70</v>
      </c>
      <c r="J502" s="67" t="s">
        <v>70</v>
      </c>
      <c r="K502" s="67">
        <v>12.3</v>
      </c>
      <c r="L502" s="299">
        <f t="shared" si="20"/>
        <v>0</v>
      </c>
      <c r="M502" s="221" t="s">
        <v>629</v>
      </c>
      <c r="N502" s="220">
        <f>IF(OR(M502="nio",M502="eigen dienst"),0,IF(M502&gt;0,M502*K502/O502,0))*VLOOKUP(B502,'2-Kosten per locatie'!$A$14:$C$33,3,FALSE)</f>
        <v>0</v>
      </c>
      <c r="O502" s="300">
        <f>IF(OR(M502="nio",M502="eigen dienst"),0,IF(M502&gt;0,VLOOKUP(H502,'3-Productie normen'!A:J,VLOOKUP(M502,'3-Productie normen'!$B$34:$C$35,2,FALSE),FALSE)))</f>
        <v>0</v>
      </c>
      <c r="P502" s="301">
        <f>VLOOKUP(H502,'3-Productie normen'!A:L,12,FALSE)</f>
        <v>0</v>
      </c>
      <c r="Q502" s="301"/>
      <c r="S502" s="302">
        <f t="shared" si="21"/>
        <v>0</v>
      </c>
    </row>
    <row r="503" spans="1:19" ht="14.15" customHeight="1">
      <c r="A503" s="71">
        <v>503</v>
      </c>
      <c r="B503" s="67" t="s">
        <v>219</v>
      </c>
      <c r="C503" s="467" t="s">
        <v>628</v>
      </c>
      <c r="D503" s="467" t="s">
        <v>720</v>
      </c>
      <c r="E503" s="67" t="s">
        <v>713</v>
      </c>
      <c r="F503" s="67" t="s">
        <v>294</v>
      </c>
      <c r="G503" s="67" t="s">
        <v>518</v>
      </c>
      <c r="H503" s="67" t="s">
        <v>630</v>
      </c>
      <c r="I503" s="67" t="s">
        <v>70</v>
      </c>
      <c r="J503" s="67" t="s">
        <v>70</v>
      </c>
      <c r="K503" s="67">
        <v>1</v>
      </c>
      <c r="L503" s="299">
        <f t="shared" si="20"/>
        <v>0</v>
      </c>
      <c r="M503" s="221" t="s">
        <v>629</v>
      </c>
      <c r="N503" s="220">
        <f>IF(OR(M503="nio",M503="eigen dienst"),0,IF(M503&gt;0,M503*K503/O503,0))*VLOOKUP(B503,'2-Kosten per locatie'!$A$14:$C$33,3,FALSE)</f>
        <v>0</v>
      </c>
      <c r="O503" s="300">
        <f>IF(OR(M503="nio",M503="eigen dienst"),0,IF(M503&gt;0,VLOOKUP(H503,'3-Productie normen'!A:J,VLOOKUP(M503,'3-Productie normen'!$B$34:$C$35,2,FALSE),FALSE)))</f>
        <v>0</v>
      </c>
      <c r="P503" s="301">
        <f>VLOOKUP(H503,'3-Productie normen'!A:L,12,FALSE)</f>
        <v>0</v>
      </c>
      <c r="Q503" s="301"/>
      <c r="S503" s="302">
        <f t="shared" si="21"/>
        <v>0</v>
      </c>
    </row>
    <row r="504" spans="1:19" ht="14.15" customHeight="1">
      <c r="A504" s="71">
        <v>504</v>
      </c>
      <c r="B504" s="67" t="s">
        <v>219</v>
      </c>
      <c r="C504" s="467" t="s">
        <v>628</v>
      </c>
      <c r="D504" s="467" t="s">
        <v>720</v>
      </c>
      <c r="E504" s="67" t="s">
        <v>713</v>
      </c>
      <c r="F504" s="67" t="s">
        <v>265</v>
      </c>
      <c r="G504" s="67" t="s">
        <v>515</v>
      </c>
      <c r="H504" s="67" t="s">
        <v>609</v>
      </c>
      <c r="I504" s="67" t="s">
        <v>70</v>
      </c>
      <c r="J504" s="67" t="s">
        <v>70</v>
      </c>
      <c r="K504" s="67">
        <v>54.8</v>
      </c>
      <c r="L504" s="299">
        <f t="shared" si="20"/>
        <v>200</v>
      </c>
      <c r="M504" s="221">
        <v>200</v>
      </c>
      <c r="N504" s="220" t="e">
        <f>IF(OR(M504="nio",M504="eigen dienst"),0,IF(M504&gt;0,M504*K504/O504,0))*VLOOKUP(B504,'2-Kosten per locatie'!$A$14:$C$33,3,FALSE)</f>
        <v>#DIV/0!</v>
      </c>
      <c r="O504" s="300">
        <f>IF(OR(M504="nio",M504="eigen dienst"),0,IF(M504&gt;0,VLOOKUP(H504,'3-Productie normen'!A:J,VLOOKUP(M504,'3-Productie normen'!$B$34:$C$35,2,FALSE),FALSE)))</f>
        <v>0</v>
      </c>
      <c r="P504" s="301" t="str">
        <f>VLOOKUP(H504,'3-Productie normen'!A:L,12,FALSE)</f>
        <v>L</v>
      </c>
      <c r="Q504" s="301"/>
      <c r="S504" s="302">
        <f t="shared" si="21"/>
        <v>10960</v>
      </c>
    </row>
    <row r="505" spans="1:19" ht="14.15" customHeight="1">
      <c r="A505" s="71">
        <v>505</v>
      </c>
      <c r="B505" s="67" t="s">
        <v>219</v>
      </c>
      <c r="C505" s="467" t="s">
        <v>628</v>
      </c>
      <c r="D505" s="467" t="s">
        <v>720</v>
      </c>
      <c r="E505" s="67" t="s">
        <v>713</v>
      </c>
      <c r="F505" s="67" t="s">
        <v>295</v>
      </c>
      <c r="G505" s="67" t="s">
        <v>518</v>
      </c>
      <c r="H505" s="67" t="s">
        <v>630</v>
      </c>
      <c r="I505" s="67" t="s">
        <v>70</v>
      </c>
      <c r="J505" s="67" t="s">
        <v>70</v>
      </c>
      <c r="K505" s="67">
        <v>1.8</v>
      </c>
      <c r="L505" s="299">
        <f t="shared" si="20"/>
        <v>0</v>
      </c>
      <c r="M505" s="221" t="s">
        <v>629</v>
      </c>
      <c r="N505" s="220">
        <f>IF(OR(M505="nio",M505="eigen dienst"),0,IF(M505&gt;0,M505*K505/O505,0))*VLOOKUP(B505,'2-Kosten per locatie'!$A$14:$C$33,3,FALSE)</f>
        <v>0</v>
      </c>
      <c r="O505" s="300">
        <f>IF(OR(M505="nio",M505="eigen dienst"),0,IF(M505&gt;0,VLOOKUP(H505,'3-Productie normen'!A:J,VLOOKUP(M505,'3-Productie normen'!$B$34:$C$35,2,FALSE),FALSE)))</f>
        <v>0</v>
      </c>
      <c r="P505" s="301">
        <f>VLOOKUP(H505,'3-Productie normen'!A:L,12,FALSE)</f>
        <v>0</v>
      </c>
      <c r="Q505" s="301"/>
      <c r="S505" s="302">
        <f t="shared" si="21"/>
        <v>0</v>
      </c>
    </row>
    <row r="506" spans="1:19" ht="14.15" customHeight="1">
      <c r="A506" s="71">
        <v>506</v>
      </c>
      <c r="B506" s="67" t="s">
        <v>219</v>
      </c>
      <c r="C506" s="467" t="s">
        <v>628</v>
      </c>
      <c r="D506" s="467" t="s">
        <v>720</v>
      </c>
      <c r="E506" s="67" t="s">
        <v>713</v>
      </c>
      <c r="F506" s="67" t="s">
        <v>296</v>
      </c>
      <c r="G506" s="67" t="s">
        <v>518</v>
      </c>
      <c r="H506" s="67" t="s">
        <v>630</v>
      </c>
      <c r="I506" s="67" t="s">
        <v>70</v>
      </c>
      <c r="J506" s="67" t="s">
        <v>70</v>
      </c>
      <c r="K506" s="67">
        <v>2.9</v>
      </c>
      <c r="L506" s="299">
        <f t="shared" si="20"/>
        <v>0</v>
      </c>
      <c r="M506" s="221" t="s">
        <v>629</v>
      </c>
      <c r="N506" s="220">
        <f>IF(OR(M506="nio",M506="eigen dienst"),0,IF(M506&gt;0,M506*K506/O506,0))*VLOOKUP(B506,'2-Kosten per locatie'!$A$14:$C$33,3,FALSE)</f>
        <v>0</v>
      </c>
      <c r="O506" s="300">
        <f>IF(OR(M506="nio",M506="eigen dienst"),0,IF(M506&gt;0,VLOOKUP(H506,'3-Productie normen'!A:J,VLOOKUP(M506,'3-Productie normen'!$B$34:$C$35,2,FALSE),FALSE)))</f>
        <v>0</v>
      </c>
      <c r="P506" s="301">
        <f>VLOOKUP(H506,'3-Productie normen'!A:L,12,FALSE)</f>
        <v>0</v>
      </c>
      <c r="Q506" s="301"/>
      <c r="S506" s="302">
        <f t="shared" si="21"/>
        <v>0</v>
      </c>
    </row>
    <row r="507" spans="1:19" ht="14.15" customHeight="1">
      <c r="A507" s="71">
        <v>507</v>
      </c>
      <c r="B507" s="67" t="s">
        <v>219</v>
      </c>
      <c r="C507" s="467" t="s">
        <v>628</v>
      </c>
      <c r="D507" s="467" t="s">
        <v>720</v>
      </c>
      <c r="E507" s="67" t="s">
        <v>713</v>
      </c>
      <c r="F507" s="67" t="s">
        <v>297</v>
      </c>
      <c r="G507" s="67" t="s">
        <v>518</v>
      </c>
      <c r="H507" s="67" t="s">
        <v>630</v>
      </c>
      <c r="I507" s="67" t="s">
        <v>70</v>
      </c>
      <c r="J507" s="67" t="s">
        <v>70</v>
      </c>
      <c r="K507" s="67">
        <v>12.3</v>
      </c>
      <c r="L507" s="299">
        <f t="shared" si="20"/>
        <v>0</v>
      </c>
      <c r="M507" s="221" t="s">
        <v>629</v>
      </c>
      <c r="N507" s="220">
        <f>IF(OR(M507="nio",M507="eigen dienst"),0,IF(M507&gt;0,M507*K507/O507,0))*VLOOKUP(B507,'2-Kosten per locatie'!$A$14:$C$33,3,FALSE)</f>
        <v>0</v>
      </c>
      <c r="O507" s="300">
        <f>IF(OR(M507="nio",M507="eigen dienst"),0,IF(M507&gt;0,VLOOKUP(H507,'3-Productie normen'!A:J,VLOOKUP(M507,'3-Productie normen'!$B$34:$C$35,2,FALSE),FALSE)))</f>
        <v>0</v>
      </c>
      <c r="P507" s="301">
        <f>VLOOKUP(H507,'3-Productie normen'!A:L,12,FALSE)</f>
        <v>0</v>
      </c>
      <c r="Q507" s="301"/>
      <c r="S507" s="302">
        <f t="shared" si="21"/>
        <v>0</v>
      </c>
    </row>
    <row r="508" spans="1:19" ht="14.15" customHeight="1">
      <c r="A508" s="71">
        <v>508</v>
      </c>
      <c r="B508" s="67" t="s">
        <v>219</v>
      </c>
      <c r="C508" s="467" t="s">
        <v>628</v>
      </c>
      <c r="D508" s="467" t="s">
        <v>720</v>
      </c>
      <c r="E508" s="67" t="s">
        <v>713</v>
      </c>
      <c r="F508" s="67" t="s">
        <v>508</v>
      </c>
      <c r="G508" s="67" t="s">
        <v>518</v>
      </c>
      <c r="H508" s="67" t="s">
        <v>630</v>
      </c>
      <c r="I508" s="67" t="s">
        <v>70</v>
      </c>
      <c r="J508" s="67" t="s">
        <v>70</v>
      </c>
      <c r="K508" s="67">
        <v>5.6</v>
      </c>
      <c r="L508" s="299">
        <f t="shared" si="20"/>
        <v>0</v>
      </c>
      <c r="M508" s="221" t="s">
        <v>629</v>
      </c>
      <c r="N508" s="220">
        <f>IF(OR(M508="nio",M508="eigen dienst"),0,IF(M508&gt;0,M508*K508/O508,0))*VLOOKUP(B508,'2-Kosten per locatie'!$A$14:$C$33,3,FALSE)</f>
        <v>0</v>
      </c>
      <c r="O508" s="300">
        <f>IF(OR(M508="nio",M508="eigen dienst"),0,IF(M508&gt;0,VLOOKUP(H508,'3-Productie normen'!A:J,VLOOKUP(M508,'3-Productie normen'!$B$34:$C$35,2,FALSE),FALSE)))</f>
        <v>0</v>
      </c>
      <c r="P508" s="301">
        <f>VLOOKUP(H508,'3-Productie normen'!A:L,12,FALSE)</f>
        <v>0</v>
      </c>
      <c r="Q508" s="301"/>
      <c r="S508" s="302">
        <f t="shared" si="21"/>
        <v>0</v>
      </c>
    </row>
    <row r="509" spans="1:19" ht="14.15" customHeight="1">
      <c r="A509" s="71">
        <v>509</v>
      </c>
      <c r="B509" s="67" t="s">
        <v>219</v>
      </c>
      <c r="C509" s="467" t="s">
        <v>628</v>
      </c>
      <c r="D509" s="467" t="s">
        <v>720</v>
      </c>
      <c r="E509" s="67" t="s">
        <v>713</v>
      </c>
      <c r="F509" s="67" t="s">
        <v>298</v>
      </c>
      <c r="G509" s="67" t="s">
        <v>588</v>
      </c>
      <c r="H509" s="67" t="s">
        <v>45</v>
      </c>
      <c r="I509" s="67" t="s">
        <v>70</v>
      </c>
      <c r="J509" s="67" t="s">
        <v>70</v>
      </c>
      <c r="K509" s="67">
        <v>12</v>
      </c>
      <c r="L509" s="299">
        <f t="shared" si="20"/>
        <v>200</v>
      </c>
      <c r="M509" s="221">
        <v>200</v>
      </c>
      <c r="N509" s="220" t="e">
        <f>IF(OR(M509="nio",M509="eigen dienst"),0,IF(M509&gt;0,M509*K509/O509,0))*VLOOKUP(B509,'2-Kosten per locatie'!$A$14:$C$33,3,FALSE)</f>
        <v>#DIV/0!</v>
      </c>
      <c r="O509" s="300">
        <f>IF(OR(M509="nio",M509="eigen dienst"),0,IF(M509&gt;0,VLOOKUP(H509,'3-Productie normen'!A:J,VLOOKUP(M509,'3-Productie normen'!$B$34:$C$35,2,FALSE),FALSE)))</f>
        <v>0</v>
      </c>
      <c r="P509" s="301" t="str">
        <f>VLOOKUP(H509,'3-Productie normen'!A:L,12,FALSE)</f>
        <v>L</v>
      </c>
      <c r="Q509" s="301"/>
      <c r="S509" s="302">
        <f t="shared" si="21"/>
        <v>2400</v>
      </c>
    </row>
    <row r="510" spans="1:19" ht="14.15" customHeight="1">
      <c r="A510" s="71">
        <v>510</v>
      </c>
      <c r="B510" s="67" t="s">
        <v>219</v>
      </c>
      <c r="C510" s="467" t="s">
        <v>628</v>
      </c>
      <c r="D510" s="467" t="s">
        <v>720</v>
      </c>
      <c r="E510" s="67" t="s">
        <v>713</v>
      </c>
      <c r="F510" s="67" t="s">
        <v>299</v>
      </c>
      <c r="G510" s="67" t="s">
        <v>518</v>
      </c>
      <c r="H510" s="67" t="s">
        <v>630</v>
      </c>
      <c r="I510" s="67" t="s">
        <v>70</v>
      </c>
      <c r="J510" s="67" t="s">
        <v>70</v>
      </c>
      <c r="K510" s="67">
        <v>13.8</v>
      </c>
      <c r="L510" s="299">
        <f t="shared" si="20"/>
        <v>0</v>
      </c>
      <c r="M510" s="221" t="s">
        <v>629</v>
      </c>
      <c r="N510" s="220">
        <f>IF(OR(M510="nio",M510="eigen dienst"),0,IF(M510&gt;0,M510*K510/O510,0))*VLOOKUP(B510,'2-Kosten per locatie'!$A$14:$C$33,3,FALSE)</f>
        <v>0</v>
      </c>
      <c r="O510" s="300">
        <f>IF(OR(M510="nio",M510="eigen dienst"),0,IF(M510&gt;0,VLOOKUP(H510,'3-Productie normen'!A:J,VLOOKUP(M510,'3-Productie normen'!$B$34:$C$35,2,FALSE),FALSE)))</f>
        <v>0</v>
      </c>
      <c r="P510" s="301">
        <f>VLOOKUP(H510,'3-Productie normen'!A:L,12,FALSE)</f>
        <v>0</v>
      </c>
      <c r="Q510" s="301"/>
      <c r="S510" s="302">
        <f t="shared" si="21"/>
        <v>0</v>
      </c>
    </row>
    <row r="511" spans="1:19" ht="14.15" customHeight="1">
      <c r="A511" s="71">
        <v>511</v>
      </c>
      <c r="B511" s="67" t="s">
        <v>219</v>
      </c>
      <c r="C511" s="467" t="s">
        <v>628</v>
      </c>
      <c r="D511" s="467" t="s">
        <v>720</v>
      </c>
      <c r="E511" s="67" t="s">
        <v>713</v>
      </c>
      <c r="F511" s="67" t="s">
        <v>300</v>
      </c>
      <c r="G511" s="67" t="s">
        <v>518</v>
      </c>
      <c r="H511" s="67" t="s">
        <v>630</v>
      </c>
      <c r="I511" s="67" t="s">
        <v>70</v>
      </c>
      <c r="J511" s="67" t="s">
        <v>70</v>
      </c>
      <c r="K511" s="67">
        <v>4.5</v>
      </c>
      <c r="L511" s="299">
        <f t="shared" si="20"/>
        <v>0</v>
      </c>
      <c r="M511" s="221" t="s">
        <v>629</v>
      </c>
      <c r="N511" s="220">
        <f>IF(OR(M511="nio",M511="eigen dienst"),0,IF(M511&gt;0,M511*K511/O511,0))*VLOOKUP(B511,'2-Kosten per locatie'!$A$14:$C$33,3,FALSE)</f>
        <v>0</v>
      </c>
      <c r="O511" s="300">
        <f>IF(OR(M511="nio",M511="eigen dienst"),0,IF(M511&gt;0,VLOOKUP(H511,'3-Productie normen'!A:J,VLOOKUP(M511,'3-Productie normen'!$B$34:$C$35,2,FALSE),FALSE)))</f>
        <v>0</v>
      </c>
      <c r="P511" s="301">
        <f>VLOOKUP(H511,'3-Productie normen'!A:L,12,FALSE)</f>
        <v>0</v>
      </c>
      <c r="Q511" s="301"/>
      <c r="S511" s="302">
        <f t="shared" si="21"/>
        <v>0</v>
      </c>
    </row>
    <row r="512" spans="1:19" ht="14.15" customHeight="1">
      <c r="A512" s="71">
        <v>512</v>
      </c>
      <c r="B512" s="67" t="s">
        <v>219</v>
      </c>
      <c r="C512" s="467" t="s">
        <v>628</v>
      </c>
      <c r="D512" s="467" t="s">
        <v>720</v>
      </c>
      <c r="E512" s="67" t="s">
        <v>713</v>
      </c>
      <c r="F512" s="67" t="s">
        <v>509</v>
      </c>
      <c r="G512" s="67" t="s">
        <v>518</v>
      </c>
      <c r="H512" s="67" t="s">
        <v>630</v>
      </c>
      <c r="I512" s="67" t="s">
        <v>70</v>
      </c>
      <c r="J512" s="67" t="s">
        <v>70</v>
      </c>
      <c r="K512" s="67">
        <v>4.4000000000000004</v>
      </c>
      <c r="L512" s="299">
        <f t="shared" si="20"/>
        <v>0</v>
      </c>
      <c r="M512" s="221" t="s">
        <v>629</v>
      </c>
      <c r="N512" s="220">
        <f>IF(OR(M512="nio",M512="eigen dienst"),0,IF(M512&gt;0,M512*K512/O512,0))*VLOOKUP(B512,'2-Kosten per locatie'!$A$14:$C$33,3,FALSE)</f>
        <v>0</v>
      </c>
      <c r="O512" s="300">
        <f>IF(OR(M512="nio",M512="eigen dienst"),0,IF(M512&gt;0,VLOOKUP(H512,'3-Productie normen'!A:J,VLOOKUP(M512,'3-Productie normen'!$B$34:$C$35,2,FALSE),FALSE)))</f>
        <v>0</v>
      </c>
      <c r="P512" s="301">
        <f>VLOOKUP(H512,'3-Productie normen'!A:L,12,FALSE)</f>
        <v>0</v>
      </c>
      <c r="Q512" s="301"/>
      <c r="S512" s="302">
        <f t="shared" si="21"/>
        <v>0</v>
      </c>
    </row>
    <row r="513" spans="1:19" ht="14.15" customHeight="1">
      <c r="A513" s="71">
        <v>513</v>
      </c>
      <c r="B513" s="67" t="s">
        <v>219</v>
      </c>
      <c r="C513" s="467" t="s">
        <v>628</v>
      </c>
      <c r="D513" s="467" t="s">
        <v>720</v>
      </c>
      <c r="E513" s="67" t="s">
        <v>713</v>
      </c>
      <c r="F513" s="67" t="s">
        <v>510</v>
      </c>
      <c r="G513" s="67" t="s">
        <v>518</v>
      </c>
      <c r="H513" s="67" t="s">
        <v>630</v>
      </c>
      <c r="I513" s="67" t="s">
        <v>70</v>
      </c>
      <c r="J513" s="67" t="s">
        <v>70</v>
      </c>
      <c r="K513" s="67">
        <v>9.8000000000000007</v>
      </c>
      <c r="L513" s="299">
        <f t="shared" si="20"/>
        <v>0</v>
      </c>
      <c r="M513" s="221" t="s">
        <v>629</v>
      </c>
      <c r="N513" s="220">
        <f>IF(OR(M513="nio",M513="eigen dienst"),0,IF(M513&gt;0,M513*K513/O513,0))*VLOOKUP(B513,'2-Kosten per locatie'!$A$14:$C$33,3,FALSE)</f>
        <v>0</v>
      </c>
      <c r="O513" s="300">
        <f>IF(OR(M513="nio",M513="eigen dienst"),0,IF(M513&gt;0,VLOOKUP(H513,'3-Productie normen'!A:J,VLOOKUP(M513,'3-Productie normen'!$B$34:$C$35,2,FALSE),FALSE)))</f>
        <v>0</v>
      </c>
      <c r="P513" s="301">
        <f>VLOOKUP(H513,'3-Productie normen'!A:L,12,FALSE)</f>
        <v>0</v>
      </c>
      <c r="Q513" s="301"/>
      <c r="S513" s="302">
        <f t="shared" si="21"/>
        <v>0</v>
      </c>
    </row>
    <row r="514" spans="1:19" ht="14.15" customHeight="1">
      <c r="A514" s="71">
        <v>514</v>
      </c>
      <c r="B514" s="67" t="s">
        <v>219</v>
      </c>
      <c r="C514" s="467" t="s">
        <v>628</v>
      </c>
      <c r="D514" s="467" t="s">
        <v>720</v>
      </c>
      <c r="E514" s="67" t="s">
        <v>713</v>
      </c>
      <c r="F514" s="67" t="s">
        <v>511</v>
      </c>
      <c r="G514" s="67" t="s">
        <v>535</v>
      </c>
      <c r="H514" s="67" t="s">
        <v>35</v>
      </c>
      <c r="I514" s="67" t="s">
        <v>70</v>
      </c>
      <c r="J514" s="67" t="s">
        <v>70</v>
      </c>
      <c r="K514" s="67">
        <v>5</v>
      </c>
      <c r="L514" s="299">
        <f t="shared" si="20"/>
        <v>200</v>
      </c>
      <c r="M514" s="221">
        <v>200</v>
      </c>
      <c r="N514" s="220" t="e">
        <f>IF(OR(M514="nio",M514="eigen dienst"),0,IF(M514&gt;0,M514*K514/O514,0))*VLOOKUP(B514,'2-Kosten per locatie'!$A$14:$C$33,3,FALSE)</f>
        <v>#DIV/0!</v>
      </c>
      <c r="O514" s="300">
        <f>IF(OR(M514="nio",M514="eigen dienst"),0,IF(M514&gt;0,VLOOKUP(H514,'3-Productie normen'!A:J,VLOOKUP(M514,'3-Productie normen'!$B$34:$C$35,2,FALSE),FALSE)))</f>
        <v>0</v>
      </c>
      <c r="P514" s="301" t="str">
        <f>VLOOKUP(H514,'3-Productie normen'!A:L,12,FALSE)</f>
        <v>B</v>
      </c>
      <c r="Q514" s="301"/>
      <c r="S514" s="302">
        <f t="shared" si="21"/>
        <v>1000</v>
      </c>
    </row>
    <row r="515" spans="1:19" ht="14.15" customHeight="1">
      <c r="A515" s="71">
        <v>515</v>
      </c>
      <c r="B515" s="67" t="s">
        <v>219</v>
      </c>
      <c r="C515" s="467" t="s">
        <v>628</v>
      </c>
      <c r="D515" s="467" t="s">
        <v>720</v>
      </c>
      <c r="E515" s="67" t="s">
        <v>713</v>
      </c>
      <c r="F515" s="67" t="s">
        <v>224</v>
      </c>
      <c r="G515" s="67" t="s">
        <v>515</v>
      </c>
      <c r="H515" s="67" t="s">
        <v>609</v>
      </c>
      <c r="I515" s="67" t="s">
        <v>70</v>
      </c>
      <c r="J515" s="67" t="s">
        <v>70</v>
      </c>
      <c r="K515" s="67">
        <v>54.8</v>
      </c>
      <c r="L515" s="299">
        <f t="shared" si="20"/>
        <v>200</v>
      </c>
      <c r="M515" s="221">
        <v>200</v>
      </c>
      <c r="N515" s="220" t="e">
        <f>IF(OR(M515="nio",M515="eigen dienst"),0,IF(M515&gt;0,M515*K515/O515,0))*VLOOKUP(B515,'2-Kosten per locatie'!$A$14:$C$33,3,FALSE)</f>
        <v>#DIV/0!</v>
      </c>
      <c r="O515" s="300">
        <f>IF(OR(M515="nio",M515="eigen dienst"),0,IF(M515&gt;0,VLOOKUP(H515,'3-Productie normen'!A:J,VLOOKUP(M515,'3-Productie normen'!$B$34:$C$35,2,FALSE),FALSE)))</f>
        <v>0</v>
      </c>
      <c r="P515" s="301" t="str">
        <f>VLOOKUP(H515,'3-Productie normen'!A:L,12,FALSE)</f>
        <v>L</v>
      </c>
      <c r="Q515" s="301"/>
      <c r="S515" s="302">
        <f t="shared" si="21"/>
        <v>10960</v>
      </c>
    </row>
    <row r="516" spans="1:19" ht="14.15" customHeight="1">
      <c r="A516" s="71">
        <v>516</v>
      </c>
      <c r="B516" s="67" t="s">
        <v>219</v>
      </c>
      <c r="C516" s="467" t="s">
        <v>628</v>
      </c>
      <c r="D516" s="467" t="s">
        <v>720</v>
      </c>
      <c r="E516" s="67" t="s">
        <v>713</v>
      </c>
      <c r="F516" s="67" t="s">
        <v>225</v>
      </c>
      <c r="G516" s="67" t="s">
        <v>595</v>
      </c>
      <c r="H516" s="67" t="s">
        <v>520</v>
      </c>
      <c r="I516" s="67" t="s">
        <v>70</v>
      </c>
      <c r="J516" s="67" t="s">
        <v>70</v>
      </c>
      <c r="K516" s="67">
        <v>31.8</v>
      </c>
      <c r="L516" s="299">
        <f t="shared" si="20"/>
        <v>200</v>
      </c>
      <c r="M516" s="221">
        <v>200</v>
      </c>
      <c r="N516" s="220" t="e">
        <f>IF(OR(M516="nio",M516="eigen dienst"),0,IF(M516&gt;0,M516*K516/O516,0))*VLOOKUP(B516,'2-Kosten per locatie'!$A$14:$C$33,3,FALSE)</f>
        <v>#DIV/0!</v>
      </c>
      <c r="O516" s="300">
        <f>IF(OR(M516="nio",M516="eigen dienst"),0,IF(M516&gt;0,VLOOKUP(H516,'3-Productie normen'!A:J,VLOOKUP(M516,'3-Productie normen'!$B$34:$C$35,2,FALSE),FALSE)))</f>
        <v>0</v>
      </c>
      <c r="P516" s="301" t="str">
        <f>VLOOKUP(H516,'3-Productie normen'!A:L,12,FALSE)</f>
        <v>V</v>
      </c>
      <c r="Q516" s="301"/>
      <c r="S516" s="302">
        <f t="shared" si="21"/>
        <v>6360</v>
      </c>
    </row>
    <row r="517" spans="1:19" ht="14.15" customHeight="1">
      <c r="A517" s="71">
        <v>517</v>
      </c>
      <c r="B517" s="67" t="s">
        <v>219</v>
      </c>
      <c r="C517" s="467" t="s">
        <v>628</v>
      </c>
      <c r="D517" s="467" t="s">
        <v>720</v>
      </c>
      <c r="E517" s="67" t="s">
        <v>713</v>
      </c>
      <c r="F517" s="67" t="s">
        <v>226</v>
      </c>
      <c r="G517" s="67" t="s">
        <v>513</v>
      </c>
      <c r="H517" s="67" t="s">
        <v>45</v>
      </c>
      <c r="I517" s="67" t="s">
        <v>599</v>
      </c>
      <c r="J517" s="67" t="s">
        <v>200</v>
      </c>
      <c r="K517" s="67">
        <v>74.8</v>
      </c>
      <c r="L517" s="299">
        <f t="shared" si="20"/>
        <v>200</v>
      </c>
      <c r="M517" s="221">
        <v>200</v>
      </c>
      <c r="N517" s="220" t="e">
        <f>IF(OR(M517="nio",M517="eigen dienst"),0,IF(M517&gt;0,M517*K517/O517,0))*VLOOKUP(B517,'2-Kosten per locatie'!$A$14:$C$33,3,FALSE)</f>
        <v>#DIV/0!</v>
      </c>
      <c r="O517" s="300">
        <f>IF(OR(M517="nio",M517="eigen dienst"),0,IF(M517&gt;0,VLOOKUP(H517,'3-Productie normen'!A:J,VLOOKUP(M517,'3-Productie normen'!$B$34:$C$35,2,FALSE),FALSE)))</f>
        <v>0</v>
      </c>
      <c r="P517" s="301" t="str">
        <f>VLOOKUP(H517,'3-Productie normen'!A:L,12,FALSE)</f>
        <v>L</v>
      </c>
      <c r="Q517" s="301"/>
      <c r="S517" s="302">
        <f t="shared" si="21"/>
        <v>14960</v>
      </c>
    </row>
    <row r="518" spans="1:19" ht="14.15" customHeight="1">
      <c r="A518" s="71">
        <v>518</v>
      </c>
      <c r="B518" s="67" t="s">
        <v>219</v>
      </c>
      <c r="C518" s="467" t="s">
        <v>628</v>
      </c>
      <c r="D518" s="467" t="s">
        <v>720</v>
      </c>
      <c r="E518" s="67" t="s">
        <v>713</v>
      </c>
      <c r="F518" s="67" t="s">
        <v>227</v>
      </c>
      <c r="G518" s="67" t="s">
        <v>515</v>
      </c>
      <c r="H518" s="67" t="s">
        <v>609</v>
      </c>
      <c r="I518" s="67" t="s">
        <v>70</v>
      </c>
      <c r="J518" s="67" t="s">
        <v>70</v>
      </c>
      <c r="K518" s="67">
        <v>65</v>
      </c>
      <c r="L518" s="299">
        <f t="shared" si="20"/>
        <v>200</v>
      </c>
      <c r="M518" s="221">
        <v>200</v>
      </c>
      <c r="N518" s="220" t="e">
        <f>IF(OR(M518="nio",M518="eigen dienst"),0,IF(M518&gt;0,M518*K518/O518,0))*VLOOKUP(B518,'2-Kosten per locatie'!$A$14:$C$33,3,FALSE)</f>
        <v>#DIV/0!</v>
      </c>
      <c r="O518" s="300">
        <f>IF(OR(M518="nio",M518="eigen dienst"),0,IF(M518&gt;0,VLOOKUP(H518,'3-Productie normen'!A:J,VLOOKUP(M518,'3-Productie normen'!$B$34:$C$35,2,FALSE),FALSE)))</f>
        <v>0</v>
      </c>
      <c r="P518" s="301" t="str">
        <f>VLOOKUP(H518,'3-Productie normen'!A:L,12,FALSE)</f>
        <v>L</v>
      </c>
      <c r="Q518" s="301"/>
      <c r="S518" s="302">
        <f t="shared" si="21"/>
        <v>13000</v>
      </c>
    </row>
    <row r="519" spans="1:19" ht="14.15" customHeight="1">
      <c r="A519" s="71">
        <v>519</v>
      </c>
      <c r="B519" s="67" t="s">
        <v>208</v>
      </c>
      <c r="C519" s="467" t="s">
        <v>618</v>
      </c>
      <c r="D519" s="467" t="s">
        <v>720</v>
      </c>
      <c r="E519" s="67" t="s">
        <v>713</v>
      </c>
      <c r="F519" s="67" t="s">
        <v>220</v>
      </c>
      <c r="G519" s="67" t="s">
        <v>515</v>
      </c>
      <c r="H519" s="67" t="s">
        <v>609</v>
      </c>
      <c r="I519" s="67" t="s">
        <v>70</v>
      </c>
      <c r="J519" s="67" t="s">
        <v>70</v>
      </c>
      <c r="K519" s="67">
        <v>60.1</v>
      </c>
      <c r="L519" s="299">
        <f t="shared" si="20"/>
        <v>200</v>
      </c>
      <c r="M519" s="221">
        <v>200</v>
      </c>
      <c r="N519" s="220" t="e">
        <f>IF(OR(M519="nio",M519="eigen dienst"),0,IF(M519&gt;0,M519*K519/O519,0))*VLOOKUP(B519,'2-Kosten per locatie'!$A$14:$C$33,3,FALSE)</f>
        <v>#DIV/0!</v>
      </c>
      <c r="O519" s="300">
        <f>IF(OR(M519="nio",M519="eigen dienst"),0,IF(M519&gt;0,VLOOKUP(H519,'3-Productie normen'!A:J,VLOOKUP(M519,'3-Productie normen'!$B$34:$C$35,2,FALSE),FALSE)))</f>
        <v>0</v>
      </c>
      <c r="P519" s="301" t="str">
        <f>VLOOKUP(H519,'3-Productie normen'!A:L,12,FALSE)</f>
        <v>L</v>
      </c>
      <c r="Q519" s="301"/>
      <c r="S519" s="302">
        <f t="shared" si="21"/>
        <v>12020</v>
      </c>
    </row>
    <row r="520" spans="1:19" ht="14.15" customHeight="1">
      <c r="A520" s="71">
        <v>520</v>
      </c>
      <c r="B520" s="67" t="s">
        <v>208</v>
      </c>
      <c r="C520" s="467" t="s">
        <v>618</v>
      </c>
      <c r="D520" s="467" t="s">
        <v>720</v>
      </c>
      <c r="E520" s="67" t="s">
        <v>713</v>
      </c>
      <c r="F520" s="67" t="s">
        <v>462</v>
      </c>
      <c r="G520" s="67" t="s">
        <v>514</v>
      </c>
      <c r="H520" s="67" t="s">
        <v>37</v>
      </c>
      <c r="I520" s="67" t="s">
        <v>601</v>
      </c>
      <c r="J520" s="67" t="s">
        <v>179</v>
      </c>
      <c r="K520" s="67">
        <v>5.8</v>
      </c>
      <c r="L520" s="299">
        <f t="shared" si="20"/>
        <v>200</v>
      </c>
      <c r="M520" s="221">
        <v>200</v>
      </c>
      <c r="N520" s="220" t="e">
        <f>IF(OR(M520="nio",M520="eigen dienst"),0,IF(M520&gt;0,M520*K520/O520,0))*VLOOKUP(B520,'2-Kosten per locatie'!$A$14:$C$33,3,FALSE)</f>
        <v>#DIV/0!</v>
      </c>
      <c r="O520" s="300">
        <f>IF(OR(M520="nio",M520="eigen dienst"),0,IF(M520&gt;0,VLOOKUP(H520,'3-Productie normen'!A:J,VLOOKUP(M520,'3-Productie normen'!$B$34:$C$35,2,FALSE),FALSE)))</f>
        <v>0</v>
      </c>
      <c r="P520" s="301" t="str">
        <f>VLOOKUP(H520,'3-Productie normen'!A:L,12,FALSE)</f>
        <v>S</v>
      </c>
      <c r="Q520" s="301"/>
      <c r="S520" s="302">
        <f t="shared" si="21"/>
        <v>1160</v>
      </c>
    </row>
    <row r="521" spans="1:19" ht="14.15" customHeight="1">
      <c r="A521" s="71">
        <v>521</v>
      </c>
      <c r="B521" s="67" t="s">
        <v>208</v>
      </c>
      <c r="C521" s="467" t="s">
        <v>618</v>
      </c>
      <c r="D521" s="467" t="s">
        <v>720</v>
      </c>
      <c r="E521" s="67" t="s">
        <v>713</v>
      </c>
      <c r="F521" s="67" t="s">
        <v>463</v>
      </c>
      <c r="G521" s="67" t="s">
        <v>518</v>
      </c>
      <c r="H521" s="67" t="s">
        <v>44</v>
      </c>
      <c r="I521" s="67" t="s">
        <v>70</v>
      </c>
      <c r="J521" s="67" t="s">
        <v>70</v>
      </c>
      <c r="K521" s="67">
        <v>8</v>
      </c>
      <c r="L521" s="299">
        <f t="shared" si="20"/>
        <v>0</v>
      </c>
      <c r="M521" s="221" t="s">
        <v>629</v>
      </c>
      <c r="N521" s="220">
        <f>IF(OR(M521="nio",M521="eigen dienst"),0,IF(M521&gt;0,M521*K521/O521,0))*VLOOKUP(B521,'2-Kosten per locatie'!$A$14:$C$33,3,FALSE)</f>
        <v>0</v>
      </c>
      <c r="O521" s="300">
        <f>IF(OR(M521="nio",M521="eigen dienst"),0,IF(M521&gt;0,VLOOKUP(H521,'3-Productie normen'!A:J,VLOOKUP(M521,'3-Productie normen'!$B$34:$C$35,2,FALSE),FALSE)))</f>
        <v>0</v>
      </c>
      <c r="P521" s="301" t="str">
        <f>VLOOKUP(H521,'3-Productie normen'!A:L,12,FALSE)</f>
        <v>V</v>
      </c>
      <c r="Q521" s="301"/>
      <c r="S521" s="302">
        <f t="shared" si="21"/>
        <v>0</v>
      </c>
    </row>
    <row r="522" spans="1:19" ht="14.15" customHeight="1">
      <c r="A522" s="71">
        <v>522</v>
      </c>
      <c r="B522" s="67" t="s">
        <v>208</v>
      </c>
      <c r="C522" s="467" t="s">
        <v>618</v>
      </c>
      <c r="D522" s="467" t="s">
        <v>720</v>
      </c>
      <c r="E522" s="67" t="s">
        <v>713</v>
      </c>
      <c r="F522" s="67" t="s">
        <v>464</v>
      </c>
      <c r="G522" s="67" t="s">
        <v>49</v>
      </c>
      <c r="H522" s="67" t="s">
        <v>49</v>
      </c>
      <c r="I522" s="67" t="s">
        <v>70</v>
      </c>
      <c r="J522" s="67" t="s">
        <v>70</v>
      </c>
      <c r="K522" s="67">
        <v>1.7</v>
      </c>
      <c r="L522" s="299">
        <f t="shared" si="20"/>
        <v>200</v>
      </c>
      <c r="M522" s="221">
        <v>200</v>
      </c>
      <c r="N522" s="220" t="e">
        <f>IF(OR(M522="nio",M522="eigen dienst"),0,IF(M522&gt;0,M522*K522/O522,0))*VLOOKUP(B522,'2-Kosten per locatie'!$A$14:$C$33,3,FALSE)</f>
        <v>#DIV/0!</v>
      </c>
      <c r="O522" s="300">
        <f>IF(OR(M522="nio",M522="eigen dienst"),0,IF(M522&gt;0,VLOOKUP(H522,'3-Productie normen'!A:J,VLOOKUP(M522,'3-Productie normen'!$B$34:$C$35,2,FALSE),FALSE)))</f>
        <v>0</v>
      </c>
      <c r="P522" s="301" t="str">
        <f>VLOOKUP(H522,'3-Productie normen'!A:L,12,FALSE)</f>
        <v>V</v>
      </c>
      <c r="Q522" s="301"/>
      <c r="S522" s="302">
        <f t="shared" si="21"/>
        <v>340</v>
      </c>
    </row>
    <row r="523" spans="1:19" ht="14.15" customHeight="1">
      <c r="A523" s="71">
        <v>523</v>
      </c>
      <c r="B523" s="67" t="s">
        <v>208</v>
      </c>
      <c r="C523" s="467" t="s">
        <v>618</v>
      </c>
      <c r="D523" s="467" t="s">
        <v>720</v>
      </c>
      <c r="E523" s="67" t="s">
        <v>713</v>
      </c>
      <c r="F523" s="67" t="s">
        <v>229</v>
      </c>
      <c r="G523" s="67" t="s">
        <v>512</v>
      </c>
      <c r="H523" s="67" t="s">
        <v>39</v>
      </c>
      <c r="I523" s="67" t="s">
        <v>70</v>
      </c>
      <c r="J523" s="67" t="s">
        <v>70</v>
      </c>
      <c r="K523" s="67">
        <v>5.2</v>
      </c>
      <c r="L523" s="299">
        <f t="shared" ref="L523:L586" si="22">SUM(M523:M523)</f>
        <v>200</v>
      </c>
      <c r="M523" s="221">
        <v>200</v>
      </c>
      <c r="N523" s="220" t="e">
        <f>IF(OR(M523="nio",M523="eigen dienst"),0,IF(M523&gt;0,M523*K523/O523,0))*VLOOKUP(B523,'2-Kosten per locatie'!$A$14:$C$33,3,FALSE)</f>
        <v>#DIV/0!</v>
      </c>
      <c r="O523" s="300">
        <f>IF(OR(M523="nio",M523="eigen dienst"),0,IF(M523&gt;0,VLOOKUP(H523,'3-Productie normen'!A:J,VLOOKUP(M523,'3-Productie normen'!$B$34:$C$35,2,FALSE),FALSE)))</f>
        <v>0</v>
      </c>
      <c r="P523" s="301" t="str">
        <f>VLOOKUP(H523,'3-Productie normen'!A:L,12,FALSE)</f>
        <v>V</v>
      </c>
      <c r="Q523" s="301"/>
      <c r="S523" s="302">
        <f t="shared" ref="S523:S586" si="23">L523*K523</f>
        <v>1040</v>
      </c>
    </row>
    <row r="524" spans="1:19" ht="14.15" customHeight="1">
      <c r="A524" s="71">
        <v>524</v>
      </c>
      <c r="B524" s="67" t="s">
        <v>208</v>
      </c>
      <c r="C524" s="467" t="s">
        <v>618</v>
      </c>
      <c r="D524" s="467" t="s">
        <v>720</v>
      </c>
      <c r="E524" s="67" t="s">
        <v>713</v>
      </c>
      <c r="F524" s="67" t="s">
        <v>465</v>
      </c>
      <c r="G524" s="67" t="s">
        <v>512</v>
      </c>
      <c r="H524" s="67" t="s">
        <v>39</v>
      </c>
      <c r="I524" s="67" t="s">
        <v>70</v>
      </c>
      <c r="J524" s="67" t="s">
        <v>70</v>
      </c>
      <c r="K524" s="67">
        <v>20</v>
      </c>
      <c r="L524" s="299">
        <f t="shared" si="22"/>
        <v>200</v>
      </c>
      <c r="M524" s="221">
        <v>200</v>
      </c>
      <c r="N524" s="220" t="e">
        <f>IF(OR(M524="nio",M524="eigen dienst"),0,IF(M524&gt;0,M524*K524/O524,0))*VLOOKUP(B524,'2-Kosten per locatie'!$A$14:$C$33,3,FALSE)</f>
        <v>#DIV/0!</v>
      </c>
      <c r="O524" s="300">
        <f>IF(OR(M524="nio",M524="eigen dienst"),0,IF(M524&gt;0,VLOOKUP(H524,'3-Productie normen'!A:J,VLOOKUP(M524,'3-Productie normen'!$B$34:$C$35,2,FALSE),FALSE)))</f>
        <v>0</v>
      </c>
      <c r="P524" s="301" t="str">
        <f>VLOOKUP(H524,'3-Productie normen'!A:L,12,FALSE)</f>
        <v>V</v>
      </c>
      <c r="Q524" s="301"/>
      <c r="S524" s="302">
        <f t="shared" si="23"/>
        <v>4000</v>
      </c>
    </row>
    <row r="525" spans="1:19" ht="14.15" customHeight="1">
      <c r="A525" s="71">
        <v>525</v>
      </c>
      <c r="B525" s="67" t="s">
        <v>208</v>
      </c>
      <c r="C525" s="467" t="s">
        <v>618</v>
      </c>
      <c r="D525" s="467" t="s">
        <v>720</v>
      </c>
      <c r="E525" s="67" t="s">
        <v>713</v>
      </c>
      <c r="F525" s="67" t="s">
        <v>466</v>
      </c>
      <c r="G525" s="67" t="s">
        <v>568</v>
      </c>
      <c r="H525" s="67" t="s">
        <v>35</v>
      </c>
      <c r="I525" s="67" t="s">
        <v>70</v>
      </c>
      <c r="J525" s="67" t="s">
        <v>70</v>
      </c>
      <c r="K525" s="67">
        <v>19.5</v>
      </c>
      <c r="L525" s="299">
        <f t="shared" si="22"/>
        <v>200</v>
      </c>
      <c r="M525" s="221">
        <v>200</v>
      </c>
      <c r="N525" s="220" t="e">
        <f>IF(OR(M525="nio",M525="eigen dienst"),0,IF(M525&gt;0,M525*K525/O525,0))*VLOOKUP(B525,'2-Kosten per locatie'!$A$14:$C$33,3,FALSE)</f>
        <v>#DIV/0!</v>
      </c>
      <c r="O525" s="300">
        <f>IF(OR(M525="nio",M525="eigen dienst"),0,IF(M525&gt;0,VLOOKUP(H525,'3-Productie normen'!A:J,VLOOKUP(M525,'3-Productie normen'!$B$34:$C$35,2,FALSE),FALSE)))</f>
        <v>0</v>
      </c>
      <c r="P525" s="301" t="str">
        <f>VLOOKUP(H525,'3-Productie normen'!A:L,12,FALSE)</f>
        <v>B</v>
      </c>
      <c r="Q525" s="301"/>
      <c r="S525" s="302">
        <f t="shared" si="23"/>
        <v>3900</v>
      </c>
    </row>
    <row r="526" spans="1:19" ht="14.15" customHeight="1">
      <c r="A526" s="71">
        <v>526</v>
      </c>
      <c r="B526" s="67" t="s">
        <v>208</v>
      </c>
      <c r="C526" s="467" t="s">
        <v>618</v>
      </c>
      <c r="D526" s="467" t="s">
        <v>720</v>
      </c>
      <c r="E526" s="67" t="s">
        <v>713</v>
      </c>
      <c r="F526" s="67" t="s">
        <v>467</v>
      </c>
      <c r="G526" s="67" t="s">
        <v>47</v>
      </c>
      <c r="H526" s="67" t="s">
        <v>47</v>
      </c>
      <c r="I526" s="67" t="s">
        <v>597</v>
      </c>
      <c r="J526" s="67" t="s">
        <v>201</v>
      </c>
      <c r="K526" s="67">
        <v>8.5</v>
      </c>
      <c r="L526" s="299">
        <f t="shared" si="22"/>
        <v>200</v>
      </c>
      <c r="M526" s="221">
        <v>200</v>
      </c>
      <c r="N526" s="220" t="e">
        <f>IF(OR(M526="nio",M526="eigen dienst"),0,IF(M526&gt;0,M526*K526/O526,0))*VLOOKUP(B526,'2-Kosten per locatie'!$A$14:$C$33,3,FALSE)</f>
        <v>#DIV/0!</v>
      </c>
      <c r="O526" s="300">
        <f>IF(OR(M526="nio",M526="eigen dienst"),0,IF(M526&gt;0,VLOOKUP(H526,'3-Productie normen'!A:J,VLOOKUP(M526,'3-Productie normen'!$B$34:$C$35,2,FALSE),FALSE)))</f>
        <v>0</v>
      </c>
      <c r="P526" s="301" t="str">
        <f>VLOOKUP(H526,'3-Productie normen'!A:L,12,FALSE)</f>
        <v>V</v>
      </c>
      <c r="Q526" s="301"/>
      <c r="S526" s="302">
        <f t="shared" si="23"/>
        <v>1700</v>
      </c>
    </row>
    <row r="527" spans="1:19" ht="14.15" customHeight="1">
      <c r="A527" s="71">
        <v>527</v>
      </c>
      <c r="B527" s="67" t="s">
        <v>208</v>
      </c>
      <c r="C527" s="467" t="s">
        <v>618</v>
      </c>
      <c r="D527" s="467" t="s">
        <v>720</v>
      </c>
      <c r="E527" s="67" t="s">
        <v>713</v>
      </c>
      <c r="F527" s="67" t="s">
        <v>468</v>
      </c>
      <c r="G527" s="67" t="s">
        <v>566</v>
      </c>
      <c r="H527" s="67" t="s">
        <v>48</v>
      </c>
      <c r="I527" s="67" t="s">
        <v>606</v>
      </c>
      <c r="J527" s="67" t="s">
        <v>200</v>
      </c>
      <c r="K527" s="67">
        <v>3.8</v>
      </c>
      <c r="L527" s="299">
        <f t="shared" si="22"/>
        <v>200</v>
      </c>
      <c r="M527" s="221">
        <v>200</v>
      </c>
      <c r="N527" s="220" t="e">
        <f>IF(OR(M527="nio",M527="eigen dienst"),0,IF(M527&gt;0,M527*K527/O527,0))*VLOOKUP(B527,'2-Kosten per locatie'!$A$14:$C$33,3,FALSE)</f>
        <v>#DIV/0!</v>
      </c>
      <c r="O527" s="300">
        <f>IF(OR(M527="nio",M527="eigen dienst"),0,IF(M527&gt;0,VLOOKUP(H527,'3-Productie normen'!A:J,VLOOKUP(M527,'3-Productie normen'!$B$34:$C$35,2,FALSE),FALSE)))</f>
        <v>0</v>
      </c>
      <c r="P527" s="301" t="str">
        <f>VLOOKUP(H527,'3-Productie normen'!A:L,12,FALSE)</f>
        <v>V</v>
      </c>
      <c r="Q527" s="301"/>
      <c r="S527" s="302">
        <f t="shared" si="23"/>
        <v>760</v>
      </c>
    </row>
    <row r="528" spans="1:19" ht="14.15" customHeight="1">
      <c r="A528" s="71">
        <v>528</v>
      </c>
      <c r="B528" s="67" t="s">
        <v>208</v>
      </c>
      <c r="C528" s="467" t="s">
        <v>618</v>
      </c>
      <c r="D528" s="467" t="s">
        <v>720</v>
      </c>
      <c r="E528" s="67" t="s">
        <v>713</v>
      </c>
      <c r="F528" s="67" t="s">
        <v>231</v>
      </c>
      <c r="G528" s="67" t="s">
        <v>515</v>
      </c>
      <c r="H528" s="67" t="s">
        <v>609</v>
      </c>
      <c r="I528" s="67" t="s">
        <v>601</v>
      </c>
      <c r="J528" s="67" t="s">
        <v>200</v>
      </c>
      <c r="K528" s="67">
        <v>41.4</v>
      </c>
      <c r="L528" s="299">
        <f t="shared" si="22"/>
        <v>200</v>
      </c>
      <c r="M528" s="221">
        <v>200</v>
      </c>
      <c r="N528" s="220" t="e">
        <f>IF(OR(M528="nio",M528="eigen dienst"),0,IF(M528&gt;0,M528*K528/O528,0))*VLOOKUP(B528,'2-Kosten per locatie'!$A$14:$C$33,3,FALSE)</f>
        <v>#DIV/0!</v>
      </c>
      <c r="O528" s="300">
        <f>IF(OR(M528="nio",M528="eigen dienst"),0,IF(M528&gt;0,VLOOKUP(H528,'3-Productie normen'!A:J,VLOOKUP(M528,'3-Productie normen'!$B$34:$C$35,2,FALSE),FALSE)))</f>
        <v>0</v>
      </c>
      <c r="P528" s="301" t="str">
        <f>VLOOKUP(H528,'3-Productie normen'!A:L,12,FALSE)</f>
        <v>L</v>
      </c>
      <c r="Q528" s="301"/>
      <c r="S528" s="302">
        <f t="shared" si="23"/>
        <v>8280</v>
      </c>
    </row>
    <row r="529" spans="1:19" ht="14.15" customHeight="1">
      <c r="A529" s="71">
        <v>529</v>
      </c>
      <c r="B529" s="67" t="s">
        <v>208</v>
      </c>
      <c r="C529" s="467" t="s">
        <v>618</v>
      </c>
      <c r="D529" s="467" t="s">
        <v>720</v>
      </c>
      <c r="E529" s="67" t="s">
        <v>713</v>
      </c>
      <c r="F529" s="67" t="s">
        <v>469</v>
      </c>
      <c r="G529" s="67" t="s">
        <v>518</v>
      </c>
      <c r="H529" s="67" t="s">
        <v>44</v>
      </c>
      <c r="I529" s="67" t="s">
        <v>601</v>
      </c>
      <c r="J529" s="67" t="s">
        <v>200</v>
      </c>
      <c r="K529" s="67">
        <v>4</v>
      </c>
      <c r="L529" s="299">
        <f t="shared" si="22"/>
        <v>0</v>
      </c>
      <c r="M529" s="221" t="s">
        <v>629</v>
      </c>
      <c r="N529" s="220">
        <f>IF(OR(M529="nio",M529="eigen dienst"),0,IF(M529&gt;0,M529*K529/O529,0))*VLOOKUP(B529,'2-Kosten per locatie'!$A$14:$C$33,3,FALSE)</f>
        <v>0</v>
      </c>
      <c r="O529" s="300">
        <f>IF(OR(M529="nio",M529="eigen dienst"),0,IF(M529&gt;0,VLOOKUP(H529,'3-Productie normen'!A:J,VLOOKUP(M529,'3-Productie normen'!$B$34:$C$35,2,FALSE),FALSE)))</f>
        <v>0</v>
      </c>
      <c r="P529" s="301" t="str">
        <f>VLOOKUP(H529,'3-Productie normen'!A:L,12,FALSE)</f>
        <v>V</v>
      </c>
      <c r="Q529" s="301"/>
      <c r="S529" s="302">
        <f t="shared" si="23"/>
        <v>0</v>
      </c>
    </row>
    <row r="530" spans="1:19" ht="14.15" customHeight="1">
      <c r="A530" s="71">
        <v>530</v>
      </c>
      <c r="B530" s="67" t="s">
        <v>208</v>
      </c>
      <c r="C530" s="467" t="s">
        <v>618</v>
      </c>
      <c r="D530" s="467" t="s">
        <v>720</v>
      </c>
      <c r="E530" s="67" t="s">
        <v>713</v>
      </c>
      <c r="F530" s="67" t="s">
        <v>470</v>
      </c>
      <c r="G530" s="67" t="s">
        <v>518</v>
      </c>
      <c r="H530" s="67" t="s">
        <v>44</v>
      </c>
      <c r="I530" s="67" t="s">
        <v>601</v>
      </c>
      <c r="J530" s="67" t="s">
        <v>200</v>
      </c>
      <c r="K530" s="67">
        <v>4</v>
      </c>
      <c r="L530" s="299">
        <f t="shared" si="22"/>
        <v>0</v>
      </c>
      <c r="M530" s="221" t="s">
        <v>629</v>
      </c>
      <c r="N530" s="220">
        <f>IF(OR(M530="nio",M530="eigen dienst"),0,IF(M530&gt;0,M530*K530/O530,0))*VLOOKUP(B530,'2-Kosten per locatie'!$A$14:$C$33,3,FALSE)</f>
        <v>0</v>
      </c>
      <c r="O530" s="300">
        <f>IF(OR(M530="nio",M530="eigen dienst"),0,IF(M530&gt;0,VLOOKUP(H530,'3-Productie normen'!A:J,VLOOKUP(M530,'3-Productie normen'!$B$34:$C$35,2,FALSE),FALSE)))</f>
        <v>0</v>
      </c>
      <c r="P530" s="301" t="str">
        <f>VLOOKUP(H530,'3-Productie normen'!A:L,12,FALSE)</f>
        <v>V</v>
      </c>
      <c r="Q530" s="301"/>
      <c r="S530" s="302">
        <f t="shared" si="23"/>
        <v>0</v>
      </c>
    </row>
    <row r="531" spans="1:19" ht="14.15" customHeight="1">
      <c r="A531" s="71">
        <v>531</v>
      </c>
      <c r="B531" s="67" t="s">
        <v>208</v>
      </c>
      <c r="C531" s="467" t="s">
        <v>618</v>
      </c>
      <c r="D531" s="467" t="s">
        <v>720</v>
      </c>
      <c r="E531" s="67" t="s">
        <v>713</v>
      </c>
      <c r="F531" s="67" t="s">
        <v>232</v>
      </c>
      <c r="G531" s="67" t="s">
        <v>515</v>
      </c>
      <c r="H531" s="67" t="s">
        <v>609</v>
      </c>
      <c r="I531" s="67" t="s">
        <v>601</v>
      </c>
      <c r="J531" s="67" t="s">
        <v>200</v>
      </c>
      <c r="K531" s="67">
        <v>49.4</v>
      </c>
      <c r="L531" s="299">
        <f t="shared" si="22"/>
        <v>200</v>
      </c>
      <c r="M531" s="221">
        <v>200</v>
      </c>
      <c r="N531" s="220" t="e">
        <f>IF(OR(M531="nio",M531="eigen dienst"),0,IF(M531&gt;0,M531*K531/O531,0))*VLOOKUP(B531,'2-Kosten per locatie'!$A$14:$C$33,3,FALSE)</f>
        <v>#DIV/0!</v>
      </c>
      <c r="O531" s="300">
        <f>IF(OR(M531="nio",M531="eigen dienst"),0,IF(M531&gt;0,VLOOKUP(H531,'3-Productie normen'!A:J,VLOOKUP(M531,'3-Productie normen'!$B$34:$C$35,2,FALSE),FALSE)))</f>
        <v>0</v>
      </c>
      <c r="P531" s="301" t="str">
        <f>VLOOKUP(H531,'3-Productie normen'!A:L,12,FALSE)</f>
        <v>L</v>
      </c>
      <c r="Q531" s="301"/>
      <c r="S531" s="302">
        <f t="shared" si="23"/>
        <v>9880</v>
      </c>
    </row>
    <row r="532" spans="1:19" ht="14.15" customHeight="1">
      <c r="A532" s="71">
        <v>532</v>
      </c>
      <c r="B532" s="67" t="s">
        <v>208</v>
      </c>
      <c r="C532" s="467" t="s">
        <v>618</v>
      </c>
      <c r="D532" s="467" t="s">
        <v>720</v>
      </c>
      <c r="E532" s="67" t="s">
        <v>713</v>
      </c>
      <c r="F532" s="67" t="s">
        <v>233</v>
      </c>
      <c r="G532" s="67" t="s">
        <v>512</v>
      </c>
      <c r="H532" s="67" t="s">
        <v>39</v>
      </c>
      <c r="I532" s="67" t="s">
        <v>70</v>
      </c>
      <c r="J532" s="67" t="s">
        <v>70</v>
      </c>
      <c r="K532" s="67">
        <v>25.9</v>
      </c>
      <c r="L532" s="299">
        <f t="shared" si="22"/>
        <v>200</v>
      </c>
      <c r="M532" s="221">
        <v>200</v>
      </c>
      <c r="N532" s="220" t="e">
        <f>IF(OR(M532="nio",M532="eigen dienst"),0,IF(M532&gt;0,M532*K532/O532,0))*VLOOKUP(B532,'2-Kosten per locatie'!$A$14:$C$33,3,FALSE)</f>
        <v>#DIV/0!</v>
      </c>
      <c r="O532" s="300">
        <f>IF(OR(M532="nio",M532="eigen dienst"),0,IF(M532&gt;0,VLOOKUP(H532,'3-Productie normen'!A:J,VLOOKUP(M532,'3-Productie normen'!$B$34:$C$35,2,FALSE),FALSE)))</f>
        <v>0</v>
      </c>
      <c r="P532" s="301" t="str">
        <f>VLOOKUP(H532,'3-Productie normen'!A:L,12,FALSE)</f>
        <v>V</v>
      </c>
      <c r="Q532" s="301"/>
      <c r="S532" s="302">
        <f t="shared" si="23"/>
        <v>5180</v>
      </c>
    </row>
    <row r="533" spans="1:19" ht="14.15" customHeight="1">
      <c r="A533" s="71">
        <v>533</v>
      </c>
      <c r="B533" s="67" t="s">
        <v>208</v>
      </c>
      <c r="C533" s="467" t="s">
        <v>618</v>
      </c>
      <c r="D533" s="467" t="s">
        <v>720</v>
      </c>
      <c r="E533" s="67" t="s">
        <v>713</v>
      </c>
      <c r="F533" s="67" t="s">
        <v>471</v>
      </c>
      <c r="G533" s="67" t="s">
        <v>518</v>
      </c>
      <c r="H533" s="67" t="s">
        <v>44</v>
      </c>
      <c r="I533" s="67" t="s">
        <v>601</v>
      </c>
      <c r="J533" s="67" t="s">
        <v>200</v>
      </c>
      <c r="K533" s="67">
        <v>36.5</v>
      </c>
      <c r="L533" s="299">
        <f t="shared" si="22"/>
        <v>0</v>
      </c>
      <c r="M533" s="221" t="s">
        <v>629</v>
      </c>
      <c r="N533" s="220">
        <f>IF(OR(M533="nio",M533="eigen dienst"),0,IF(M533&gt;0,M533*K533/O533,0))*VLOOKUP(B533,'2-Kosten per locatie'!$A$14:$C$33,3,FALSE)</f>
        <v>0</v>
      </c>
      <c r="O533" s="300">
        <f>IF(OR(M533="nio",M533="eigen dienst"),0,IF(M533&gt;0,VLOOKUP(H533,'3-Productie normen'!A:J,VLOOKUP(M533,'3-Productie normen'!$B$34:$C$35,2,FALSE),FALSE)))</f>
        <v>0</v>
      </c>
      <c r="P533" s="301" t="str">
        <f>VLOOKUP(H533,'3-Productie normen'!A:L,12,FALSE)</f>
        <v>V</v>
      </c>
      <c r="Q533" s="301"/>
      <c r="S533" s="302">
        <f t="shared" si="23"/>
        <v>0</v>
      </c>
    </row>
    <row r="534" spans="1:19" ht="14.15" customHeight="1">
      <c r="A534" s="71">
        <v>534</v>
      </c>
      <c r="B534" s="67" t="s">
        <v>208</v>
      </c>
      <c r="C534" s="467" t="s">
        <v>618</v>
      </c>
      <c r="D534" s="467" t="s">
        <v>720</v>
      </c>
      <c r="E534" s="67" t="s">
        <v>713</v>
      </c>
      <c r="F534" s="67" t="s">
        <v>472</v>
      </c>
      <c r="G534" s="67" t="s">
        <v>518</v>
      </c>
      <c r="H534" s="67" t="s">
        <v>44</v>
      </c>
      <c r="I534" s="67" t="s">
        <v>601</v>
      </c>
      <c r="J534" s="67" t="s">
        <v>200</v>
      </c>
      <c r="K534" s="67">
        <v>13</v>
      </c>
      <c r="L534" s="299">
        <f t="shared" si="22"/>
        <v>0</v>
      </c>
      <c r="M534" s="221" t="s">
        <v>629</v>
      </c>
      <c r="N534" s="220">
        <f>IF(OR(M534="nio",M534="eigen dienst"),0,IF(M534&gt;0,M534*K534/O534,0))*VLOOKUP(B534,'2-Kosten per locatie'!$A$14:$C$33,3,FALSE)</f>
        <v>0</v>
      </c>
      <c r="O534" s="300">
        <f>IF(OR(M534="nio",M534="eigen dienst"),0,IF(M534&gt;0,VLOOKUP(H534,'3-Productie normen'!A:J,VLOOKUP(M534,'3-Productie normen'!$B$34:$C$35,2,FALSE),FALSE)))</f>
        <v>0</v>
      </c>
      <c r="P534" s="301" t="str">
        <f>VLOOKUP(H534,'3-Productie normen'!A:L,12,FALSE)</f>
        <v>V</v>
      </c>
      <c r="Q534" s="301"/>
      <c r="S534" s="302">
        <f t="shared" si="23"/>
        <v>0</v>
      </c>
    </row>
    <row r="535" spans="1:19" ht="14.15" customHeight="1">
      <c r="A535" s="71">
        <v>535</v>
      </c>
      <c r="B535" s="67" t="s">
        <v>208</v>
      </c>
      <c r="C535" s="467" t="s">
        <v>618</v>
      </c>
      <c r="D535" s="467" t="s">
        <v>720</v>
      </c>
      <c r="E535" s="67" t="s">
        <v>713</v>
      </c>
      <c r="F535" s="67" t="s">
        <v>473</v>
      </c>
      <c r="G535" s="67" t="s">
        <v>514</v>
      </c>
      <c r="H535" s="67" t="s">
        <v>37</v>
      </c>
      <c r="I535" s="67" t="s">
        <v>601</v>
      </c>
      <c r="J535" s="67" t="s">
        <v>179</v>
      </c>
      <c r="K535" s="67">
        <v>5.0999999999999996</v>
      </c>
      <c r="L535" s="299">
        <f t="shared" si="22"/>
        <v>200</v>
      </c>
      <c r="M535" s="221">
        <v>200</v>
      </c>
      <c r="N535" s="220" t="e">
        <f>IF(OR(M535="nio",M535="eigen dienst"),0,IF(M535&gt;0,M535*K535/O535,0))*VLOOKUP(B535,'2-Kosten per locatie'!$A$14:$C$33,3,FALSE)</f>
        <v>#DIV/0!</v>
      </c>
      <c r="O535" s="300">
        <f>IF(OR(M535="nio",M535="eigen dienst"),0,IF(M535&gt;0,VLOOKUP(H535,'3-Productie normen'!A:J,VLOOKUP(M535,'3-Productie normen'!$B$34:$C$35,2,FALSE),FALSE)))</f>
        <v>0</v>
      </c>
      <c r="P535" s="301" t="str">
        <f>VLOOKUP(H535,'3-Productie normen'!A:L,12,FALSE)</f>
        <v>S</v>
      </c>
      <c r="Q535" s="301"/>
      <c r="S535" s="302">
        <f t="shared" si="23"/>
        <v>1019.9999999999999</v>
      </c>
    </row>
    <row r="536" spans="1:19" ht="14.15" customHeight="1">
      <c r="A536" s="71">
        <v>536</v>
      </c>
      <c r="B536" s="67" t="s">
        <v>208</v>
      </c>
      <c r="C536" s="467" t="s">
        <v>618</v>
      </c>
      <c r="D536" s="467" t="s">
        <v>720</v>
      </c>
      <c r="E536" s="67" t="s">
        <v>713</v>
      </c>
      <c r="F536" s="67" t="s">
        <v>236</v>
      </c>
      <c r="G536" s="67" t="s">
        <v>512</v>
      </c>
      <c r="H536" s="67" t="s">
        <v>39</v>
      </c>
      <c r="I536" s="67" t="s">
        <v>70</v>
      </c>
      <c r="J536" s="67" t="s">
        <v>70</v>
      </c>
      <c r="K536" s="67">
        <v>35.4</v>
      </c>
      <c r="L536" s="299">
        <f t="shared" si="22"/>
        <v>200</v>
      </c>
      <c r="M536" s="221">
        <v>200</v>
      </c>
      <c r="N536" s="220" t="e">
        <f>IF(OR(M536="nio",M536="eigen dienst"),0,IF(M536&gt;0,M536*K536/O536,0))*VLOOKUP(B536,'2-Kosten per locatie'!$A$14:$C$33,3,FALSE)</f>
        <v>#DIV/0!</v>
      </c>
      <c r="O536" s="300">
        <f>IF(OR(M536="nio",M536="eigen dienst"),0,IF(M536&gt;0,VLOOKUP(H536,'3-Productie normen'!A:J,VLOOKUP(M536,'3-Productie normen'!$B$34:$C$35,2,FALSE),FALSE)))</f>
        <v>0</v>
      </c>
      <c r="P536" s="301" t="str">
        <f>VLOOKUP(H536,'3-Productie normen'!A:L,12,FALSE)</f>
        <v>V</v>
      </c>
      <c r="Q536" s="301"/>
      <c r="S536" s="302">
        <f t="shared" si="23"/>
        <v>7080</v>
      </c>
    </row>
    <row r="537" spans="1:19" ht="14.15" customHeight="1">
      <c r="A537" s="71">
        <v>537</v>
      </c>
      <c r="B537" s="67" t="s">
        <v>208</v>
      </c>
      <c r="C537" s="467" t="s">
        <v>618</v>
      </c>
      <c r="D537" s="467" t="s">
        <v>720</v>
      </c>
      <c r="E537" s="67" t="s">
        <v>713</v>
      </c>
      <c r="F537" s="67" t="s">
        <v>474</v>
      </c>
      <c r="G537" s="67" t="s">
        <v>522</v>
      </c>
      <c r="H537" s="67" t="s">
        <v>44</v>
      </c>
      <c r="I537" s="67" t="s">
        <v>601</v>
      </c>
      <c r="J537" s="67" t="s">
        <v>200</v>
      </c>
      <c r="K537" s="67">
        <v>2</v>
      </c>
      <c r="L537" s="299">
        <f t="shared" ref="L537" si="24">SUM(M537:M537)</f>
        <v>0</v>
      </c>
      <c r="M537" s="221" t="s">
        <v>629</v>
      </c>
      <c r="N537" s="220">
        <f>IF(OR(M537="nio",M537="eigen dienst"),0,IF(M537&gt;0,M537*K537/O537,0))*VLOOKUP(B537,'2-Kosten per locatie'!$A$14:$C$33,3,FALSE)</f>
        <v>0</v>
      </c>
      <c r="O537" s="300">
        <f>IF(OR(M537="nio",M537="eigen dienst"),0,IF(M537&gt;0,VLOOKUP(H537,'3-Productie normen'!A:J,VLOOKUP(M537,'3-Productie normen'!$B$34:$C$35,2,FALSE),FALSE)))</f>
        <v>0</v>
      </c>
      <c r="P537" s="301" t="str">
        <f>VLOOKUP(H537,'3-Productie normen'!A:L,12,FALSE)</f>
        <v>V</v>
      </c>
      <c r="Q537" s="301"/>
      <c r="S537" s="302">
        <f t="shared" si="23"/>
        <v>0</v>
      </c>
    </row>
    <row r="538" spans="1:19" ht="14.15" customHeight="1">
      <c r="A538" s="71">
        <v>538</v>
      </c>
      <c r="B538" s="67" t="s">
        <v>208</v>
      </c>
      <c r="C538" s="467" t="s">
        <v>618</v>
      </c>
      <c r="D538" s="467" t="s">
        <v>720</v>
      </c>
      <c r="E538" s="67" t="s">
        <v>713</v>
      </c>
      <c r="F538" s="67" t="s">
        <v>475</v>
      </c>
      <c r="G538" s="67" t="s">
        <v>566</v>
      </c>
      <c r="H538" s="67" t="s">
        <v>48</v>
      </c>
      <c r="I538" s="67" t="s">
        <v>606</v>
      </c>
      <c r="J538" s="67" t="s">
        <v>200</v>
      </c>
      <c r="K538" s="67">
        <v>3.8</v>
      </c>
      <c r="L538" s="299">
        <f t="shared" si="22"/>
        <v>200</v>
      </c>
      <c r="M538" s="221">
        <v>200</v>
      </c>
      <c r="N538" s="220" t="e">
        <f>IF(OR(M538="nio",M538="eigen dienst"),0,IF(M538&gt;0,M538*K538/O538,0))*VLOOKUP(B538,'2-Kosten per locatie'!$A$14:$C$33,3,FALSE)</f>
        <v>#DIV/0!</v>
      </c>
      <c r="O538" s="300">
        <f>IF(OR(M538="nio",M538="eigen dienst"),0,IF(M538&gt;0,VLOOKUP(H538,'3-Productie normen'!A:J,VLOOKUP(M538,'3-Productie normen'!$B$34:$C$35,2,FALSE),FALSE)))</f>
        <v>0</v>
      </c>
      <c r="P538" s="301" t="str">
        <f>VLOOKUP(H538,'3-Productie normen'!A:L,12,FALSE)</f>
        <v>V</v>
      </c>
      <c r="Q538" s="301"/>
      <c r="S538" s="302">
        <f t="shared" si="23"/>
        <v>760</v>
      </c>
    </row>
    <row r="539" spans="1:19" ht="14.15" customHeight="1">
      <c r="A539" s="71">
        <v>539</v>
      </c>
      <c r="B539" s="67" t="s">
        <v>208</v>
      </c>
      <c r="C539" s="467" t="s">
        <v>618</v>
      </c>
      <c r="D539" s="467" t="s">
        <v>720</v>
      </c>
      <c r="E539" s="67" t="s">
        <v>713</v>
      </c>
      <c r="F539" s="67" t="s">
        <v>237</v>
      </c>
      <c r="G539" s="67" t="s">
        <v>515</v>
      </c>
      <c r="H539" s="67" t="s">
        <v>609</v>
      </c>
      <c r="I539" s="67" t="s">
        <v>601</v>
      </c>
      <c r="J539" s="67" t="s">
        <v>200</v>
      </c>
      <c r="K539" s="67">
        <v>49.4</v>
      </c>
      <c r="L539" s="299">
        <f t="shared" si="22"/>
        <v>200</v>
      </c>
      <c r="M539" s="221">
        <v>200</v>
      </c>
      <c r="N539" s="220" t="e">
        <f>IF(OR(M539="nio",M539="eigen dienst"),0,IF(M539&gt;0,M539*K539/O539,0))*VLOOKUP(B539,'2-Kosten per locatie'!$A$14:$C$33,3,FALSE)</f>
        <v>#DIV/0!</v>
      </c>
      <c r="O539" s="300">
        <f>IF(OR(M539="nio",M539="eigen dienst"),0,IF(M539&gt;0,VLOOKUP(H539,'3-Productie normen'!A:J,VLOOKUP(M539,'3-Productie normen'!$B$34:$C$35,2,FALSE),FALSE)))</f>
        <v>0</v>
      </c>
      <c r="P539" s="301" t="str">
        <f>VLOOKUP(H539,'3-Productie normen'!A:L,12,FALSE)</f>
        <v>L</v>
      </c>
      <c r="Q539" s="301"/>
      <c r="S539" s="302">
        <f t="shared" si="23"/>
        <v>9880</v>
      </c>
    </row>
    <row r="540" spans="1:19" ht="14.15" customHeight="1">
      <c r="A540" s="71">
        <v>540</v>
      </c>
      <c r="B540" s="67" t="s">
        <v>208</v>
      </c>
      <c r="C540" s="467" t="s">
        <v>618</v>
      </c>
      <c r="D540" s="467" t="s">
        <v>720</v>
      </c>
      <c r="E540" s="67" t="s">
        <v>713</v>
      </c>
      <c r="F540" s="67" t="s">
        <v>221</v>
      </c>
      <c r="G540" s="67" t="s">
        <v>515</v>
      </c>
      <c r="H540" s="67" t="s">
        <v>609</v>
      </c>
      <c r="I540" s="67" t="s">
        <v>70</v>
      </c>
      <c r="J540" s="67" t="s">
        <v>70</v>
      </c>
      <c r="K540" s="67">
        <v>49.3</v>
      </c>
      <c r="L540" s="299">
        <f t="shared" si="22"/>
        <v>200</v>
      </c>
      <c r="M540" s="221">
        <v>200</v>
      </c>
      <c r="N540" s="220" t="e">
        <f>IF(OR(M540="nio",M540="eigen dienst"),0,IF(M540&gt;0,M540*K540/O540,0))*VLOOKUP(B540,'2-Kosten per locatie'!$A$14:$C$33,3,FALSE)</f>
        <v>#DIV/0!</v>
      </c>
      <c r="O540" s="300">
        <f>IF(OR(M540="nio",M540="eigen dienst"),0,IF(M540&gt;0,VLOOKUP(H540,'3-Productie normen'!A:J,VLOOKUP(M540,'3-Productie normen'!$B$34:$C$35,2,FALSE),FALSE)))</f>
        <v>0</v>
      </c>
      <c r="P540" s="301" t="str">
        <f>VLOOKUP(H540,'3-Productie normen'!A:L,12,FALSE)</f>
        <v>L</v>
      </c>
      <c r="Q540" s="301"/>
      <c r="S540" s="302">
        <f t="shared" si="23"/>
        <v>9860</v>
      </c>
    </row>
    <row r="541" spans="1:19" ht="14.15" customHeight="1">
      <c r="A541" s="71">
        <v>541</v>
      </c>
      <c r="B541" s="67" t="s">
        <v>208</v>
      </c>
      <c r="C541" s="467" t="s">
        <v>618</v>
      </c>
      <c r="D541" s="467" t="s">
        <v>720</v>
      </c>
      <c r="E541" s="67" t="s">
        <v>713</v>
      </c>
      <c r="F541" s="67" t="s">
        <v>238</v>
      </c>
      <c r="G541" s="67" t="s">
        <v>515</v>
      </c>
      <c r="H541" s="67" t="s">
        <v>609</v>
      </c>
      <c r="I541" s="67" t="s">
        <v>601</v>
      </c>
      <c r="J541" s="67" t="s">
        <v>200</v>
      </c>
      <c r="K541" s="67">
        <v>49.4</v>
      </c>
      <c r="L541" s="299">
        <f t="shared" si="22"/>
        <v>200</v>
      </c>
      <c r="M541" s="221">
        <v>200</v>
      </c>
      <c r="N541" s="220" t="e">
        <f>IF(OR(M541="nio",M541="eigen dienst"),0,IF(M541&gt;0,M541*K541/O541,0))*VLOOKUP(B541,'2-Kosten per locatie'!$A$14:$C$33,3,FALSE)</f>
        <v>#DIV/0!</v>
      </c>
      <c r="O541" s="300">
        <f>IF(OR(M541="nio",M541="eigen dienst"),0,IF(M541&gt;0,VLOOKUP(H541,'3-Productie normen'!A:J,VLOOKUP(M541,'3-Productie normen'!$B$34:$C$35,2,FALSE),FALSE)))</f>
        <v>0</v>
      </c>
      <c r="P541" s="301" t="str">
        <f>VLOOKUP(H541,'3-Productie normen'!A:L,12,FALSE)</f>
        <v>L</v>
      </c>
      <c r="Q541" s="301"/>
      <c r="S541" s="302">
        <f t="shared" si="23"/>
        <v>9880</v>
      </c>
    </row>
    <row r="542" spans="1:19" ht="14.15" customHeight="1">
      <c r="A542" s="71">
        <v>542</v>
      </c>
      <c r="B542" s="67" t="s">
        <v>208</v>
      </c>
      <c r="C542" s="467" t="s">
        <v>618</v>
      </c>
      <c r="D542" s="467" t="s">
        <v>720</v>
      </c>
      <c r="E542" s="67" t="s">
        <v>713</v>
      </c>
      <c r="F542" s="67" t="s">
        <v>239</v>
      </c>
      <c r="G542" s="67" t="s">
        <v>512</v>
      </c>
      <c r="H542" s="67" t="s">
        <v>39</v>
      </c>
      <c r="I542" s="67" t="s">
        <v>70</v>
      </c>
      <c r="J542" s="67" t="s">
        <v>70</v>
      </c>
      <c r="K542" s="67">
        <v>26</v>
      </c>
      <c r="L542" s="299">
        <f t="shared" si="22"/>
        <v>200</v>
      </c>
      <c r="M542" s="221">
        <v>200</v>
      </c>
      <c r="N542" s="220" t="e">
        <f>IF(OR(M542="nio",M542="eigen dienst"),0,IF(M542&gt;0,M542*K542/O542,0))*VLOOKUP(B542,'2-Kosten per locatie'!$A$14:$C$33,3,FALSE)</f>
        <v>#DIV/0!</v>
      </c>
      <c r="O542" s="300">
        <f>IF(OR(M542="nio",M542="eigen dienst"),0,IF(M542&gt;0,VLOOKUP(H542,'3-Productie normen'!A:J,VLOOKUP(M542,'3-Productie normen'!$B$34:$C$35,2,FALSE),FALSE)))</f>
        <v>0</v>
      </c>
      <c r="P542" s="301" t="str">
        <f>VLOOKUP(H542,'3-Productie normen'!A:L,12,FALSE)</f>
        <v>V</v>
      </c>
      <c r="Q542" s="301"/>
      <c r="S542" s="302">
        <f t="shared" si="23"/>
        <v>5200</v>
      </c>
    </row>
    <row r="543" spans="1:19" ht="14.15" customHeight="1">
      <c r="A543" s="71">
        <v>543</v>
      </c>
      <c r="B543" s="67" t="s">
        <v>208</v>
      </c>
      <c r="C543" s="467" t="s">
        <v>618</v>
      </c>
      <c r="D543" s="467" t="s">
        <v>720</v>
      </c>
      <c r="E543" s="67" t="s">
        <v>713</v>
      </c>
      <c r="F543" s="67" t="s">
        <v>240</v>
      </c>
      <c r="G543" s="67" t="s">
        <v>518</v>
      </c>
      <c r="H543" s="67" t="s">
        <v>44</v>
      </c>
      <c r="I543" s="67" t="s">
        <v>70</v>
      </c>
      <c r="J543" s="67" t="s">
        <v>70</v>
      </c>
      <c r="K543" s="67">
        <v>19.2</v>
      </c>
      <c r="L543" s="299">
        <f t="shared" ref="L543:L544" si="25">SUM(M543:M543)</f>
        <v>0</v>
      </c>
      <c r="M543" s="221" t="s">
        <v>629</v>
      </c>
      <c r="N543" s="220">
        <f>IF(OR(M543="nio",M543="eigen dienst"),0,IF(M543&gt;0,M543*K543/O543,0))*VLOOKUP(B543,'2-Kosten per locatie'!$A$14:$C$33,3,FALSE)</f>
        <v>0</v>
      </c>
      <c r="O543" s="300">
        <f>IF(OR(M543="nio",M543="eigen dienst"),0,IF(M543&gt;0,VLOOKUP(H543,'3-Productie normen'!A:J,VLOOKUP(M543,'3-Productie normen'!$B$34:$C$35,2,FALSE),FALSE)))</f>
        <v>0</v>
      </c>
      <c r="P543" s="301" t="str">
        <f>VLOOKUP(H543,'3-Productie normen'!A:L,12,FALSE)</f>
        <v>V</v>
      </c>
      <c r="Q543" s="301"/>
      <c r="S543" s="302">
        <f t="shared" si="23"/>
        <v>0</v>
      </c>
    </row>
    <row r="544" spans="1:19" ht="14.15" customHeight="1">
      <c r="A544" s="71">
        <v>544</v>
      </c>
      <c r="B544" s="67" t="s">
        <v>208</v>
      </c>
      <c r="C544" s="467" t="s">
        <v>618</v>
      </c>
      <c r="D544" s="467" t="s">
        <v>720</v>
      </c>
      <c r="E544" s="67" t="s">
        <v>713</v>
      </c>
      <c r="F544" s="67" t="s">
        <v>241</v>
      </c>
      <c r="G544" s="67" t="s">
        <v>569</v>
      </c>
      <c r="H544" s="67" t="s">
        <v>630</v>
      </c>
      <c r="I544" s="67" t="s">
        <v>70</v>
      </c>
      <c r="J544" s="67" t="s">
        <v>70</v>
      </c>
      <c r="K544" s="67">
        <v>4.2</v>
      </c>
      <c r="L544" s="299">
        <f t="shared" si="25"/>
        <v>0</v>
      </c>
      <c r="M544" s="221" t="s">
        <v>629</v>
      </c>
      <c r="N544" s="220">
        <f>IF(OR(M544="nio",M544="eigen dienst"),0,IF(M544&gt;0,M544*K544/O544,0))*VLOOKUP(B544,'2-Kosten per locatie'!$A$14:$C$33,3,FALSE)</f>
        <v>0</v>
      </c>
      <c r="O544" s="300">
        <f>IF(OR(M544="nio",M544="eigen dienst"),0,IF(M544&gt;0,VLOOKUP(H544,'3-Productie normen'!A:J,VLOOKUP(M544,'3-Productie normen'!$B$34:$C$35,2,FALSE),FALSE)))</f>
        <v>0</v>
      </c>
      <c r="P544" s="301">
        <f>VLOOKUP(H544,'3-Productie normen'!A:L,12,FALSE)</f>
        <v>0</v>
      </c>
      <c r="Q544" s="301"/>
      <c r="S544" s="302">
        <f t="shared" si="23"/>
        <v>0</v>
      </c>
    </row>
    <row r="545" spans="1:19" ht="14.15" customHeight="1">
      <c r="A545" s="71">
        <v>545</v>
      </c>
      <c r="B545" s="67" t="s">
        <v>208</v>
      </c>
      <c r="C545" s="467" t="s">
        <v>618</v>
      </c>
      <c r="D545" s="467" t="s">
        <v>720</v>
      </c>
      <c r="E545" s="67" t="s">
        <v>713</v>
      </c>
      <c r="F545" s="67" t="s">
        <v>242</v>
      </c>
      <c r="G545" s="67" t="s">
        <v>514</v>
      </c>
      <c r="H545" s="67" t="s">
        <v>37</v>
      </c>
      <c r="I545" s="67" t="s">
        <v>601</v>
      </c>
      <c r="J545" s="67" t="s">
        <v>179</v>
      </c>
      <c r="K545" s="67">
        <v>5.5</v>
      </c>
      <c r="L545" s="299">
        <f t="shared" si="22"/>
        <v>200</v>
      </c>
      <c r="M545" s="221">
        <v>200</v>
      </c>
      <c r="N545" s="220" t="e">
        <f>IF(OR(M545="nio",M545="eigen dienst"),0,IF(M545&gt;0,M545*K545/O545,0))*VLOOKUP(B545,'2-Kosten per locatie'!$A$14:$C$33,3,FALSE)</f>
        <v>#DIV/0!</v>
      </c>
      <c r="O545" s="300">
        <f>IF(OR(M545="nio",M545="eigen dienst"),0,IF(M545&gt;0,VLOOKUP(H545,'3-Productie normen'!A:J,VLOOKUP(M545,'3-Productie normen'!$B$34:$C$35,2,FALSE),FALSE)))</f>
        <v>0</v>
      </c>
      <c r="P545" s="301" t="str">
        <f>VLOOKUP(H545,'3-Productie normen'!A:L,12,FALSE)</f>
        <v>S</v>
      </c>
      <c r="Q545" s="301"/>
      <c r="S545" s="302">
        <f t="shared" si="23"/>
        <v>1100</v>
      </c>
    </row>
    <row r="546" spans="1:19" ht="14.15" customHeight="1">
      <c r="A546" s="71">
        <v>546</v>
      </c>
      <c r="B546" s="67" t="s">
        <v>208</v>
      </c>
      <c r="C546" s="467" t="s">
        <v>618</v>
      </c>
      <c r="D546" s="467" t="s">
        <v>720</v>
      </c>
      <c r="E546" s="67" t="s">
        <v>713</v>
      </c>
      <c r="F546" s="67" t="s">
        <v>243</v>
      </c>
      <c r="G546" s="67" t="s">
        <v>570</v>
      </c>
      <c r="H546" s="67" t="s">
        <v>46</v>
      </c>
      <c r="I546" s="67" t="s">
        <v>70</v>
      </c>
      <c r="J546" s="67" t="s">
        <v>70</v>
      </c>
      <c r="K546" s="67">
        <v>147.69999999999999</v>
      </c>
      <c r="L546" s="299">
        <f t="shared" si="22"/>
        <v>200</v>
      </c>
      <c r="M546" s="221">
        <v>200</v>
      </c>
      <c r="N546" s="220" t="e">
        <f>IF(OR(M546="nio",M546="eigen dienst"),0,IF(M546&gt;0,M546*K546/O546,0))*VLOOKUP(B546,'2-Kosten per locatie'!$A$14:$C$33,3,FALSE)</f>
        <v>#DIV/0!</v>
      </c>
      <c r="O546" s="300">
        <f>IF(OR(M546="nio",M546="eigen dienst"),0,IF(M546&gt;0,VLOOKUP(H546,'3-Productie normen'!A:J,VLOOKUP(M546,'3-Productie normen'!$B$34:$C$35,2,FALSE),FALSE)))</f>
        <v>0</v>
      </c>
      <c r="P546" s="301" t="str">
        <f>VLOOKUP(H546,'3-Productie normen'!A:L,12,FALSE)</f>
        <v>V</v>
      </c>
      <c r="Q546" s="301"/>
      <c r="S546" s="302">
        <f t="shared" si="23"/>
        <v>29539.999999999996</v>
      </c>
    </row>
    <row r="547" spans="1:19" ht="14.15" customHeight="1">
      <c r="A547" s="71">
        <v>547</v>
      </c>
      <c r="B547" s="67" t="s">
        <v>208</v>
      </c>
      <c r="C547" s="467" t="s">
        <v>618</v>
      </c>
      <c r="D547" s="467" t="s">
        <v>720</v>
      </c>
      <c r="E547" s="67" t="s">
        <v>713</v>
      </c>
      <c r="F547" s="67" t="s">
        <v>244</v>
      </c>
      <c r="G547" s="67" t="s">
        <v>571</v>
      </c>
      <c r="H547" s="67" t="s">
        <v>44</v>
      </c>
      <c r="I547" s="67" t="s">
        <v>70</v>
      </c>
      <c r="J547" s="67" t="s">
        <v>70</v>
      </c>
      <c r="K547" s="67">
        <v>7.5</v>
      </c>
      <c r="L547" s="299">
        <f t="shared" si="22"/>
        <v>0</v>
      </c>
      <c r="M547" s="221" t="s">
        <v>629</v>
      </c>
      <c r="N547" s="220">
        <f>IF(OR(M547="nio",M547="eigen dienst"),0,IF(M547&gt;0,M547*K547/O547,0))*VLOOKUP(B547,'2-Kosten per locatie'!$A$14:$C$33,3,FALSE)</f>
        <v>0</v>
      </c>
      <c r="O547" s="300">
        <f>IF(OR(M547="nio",M547="eigen dienst"),0,IF(M547&gt;0,VLOOKUP(H547,'3-Productie normen'!A:J,VLOOKUP(M547,'3-Productie normen'!$B$34:$C$35,2,FALSE),FALSE)))</f>
        <v>0</v>
      </c>
      <c r="P547" s="301" t="str">
        <f>VLOOKUP(H547,'3-Productie normen'!A:L,12,FALSE)</f>
        <v>V</v>
      </c>
      <c r="Q547" s="301"/>
      <c r="S547" s="302">
        <f t="shared" si="23"/>
        <v>0</v>
      </c>
    </row>
    <row r="548" spans="1:19" ht="14.15" customHeight="1">
      <c r="A548" s="71">
        <v>548</v>
      </c>
      <c r="B548" s="67" t="s">
        <v>208</v>
      </c>
      <c r="C548" s="467" t="s">
        <v>618</v>
      </c>
      <c r="D548" s="467" t="s">
        <v>720</v>
      </c>
      <c r="E548" s="67" t="s">
        <v>713</v>
      </c>
      <c r="F548" s="67" t="s">
        <v>245</v>
      </c>
      <c r="G548" s="67" t="s">
        <v>519</v>
      </c>
      <c r="H548" s="67" t="s">
        <v>41</v>
      </c>
      <c r="I548" s="67" t="s">
        <v>601</v>
      </c>
      <c r="J548" s="67" t="s">
        <v>200</v>
      </c>
      <c r="K548" s="67">
        <v>11.8</v>
      </c>
      <c r="L548" s="299">
        <f t="shared" si="22"/>
        <v>200</v>
      </c>
      <c r="M548" s="221">
        <v>200</v>
      </c>
      <c r="N548" s="220" t="e">
        <f>IF(OR(M548="nio",M548="eigen dienst"),0,IF(M548&gt;0,M548*K548/O548,0))*VLOOKUP(B548,'2-Kosten per locatie'!$A$14:$C$33,3,FALSE)</f>
        <v>#DIV/0!</v>
      </c>
      <c r="O548" s="300">
        <f>IF(OR(M548="nio",M548="eigen dienst"),0,IF(M548&gt;0,VLOOKUP(H548,'3-Productie normen'!A:J,VLOOKUP(M548,'3-Productie normen'!$B$34:$C$35,2,FALSE),FALSE)))</f>
        <v>0</v>
      </c>
      <c r="P548" s="301" t="str">
        <f>VLOOKUP(H548,'3-Productie normen'!A:L,12,FALSE)</f>
        <v>V</v>
      </c>
      <c r="Q548" s="301"/>
      <c r="S548" s="302">
        <f t="shared" si="23"/>
        <v>2360</v>
      </c>
    </row>
    <row r="549" spans="1:19" ht="14.15" customHeight="1">
      <c r="A549" s="71">
        <v>549</v>
      </c>
      <c r="B549" s="67" t="s">
        <v>208</v>
      </c>
      <c r="C549" s="467" t="s">
        <v>618</v>
      </c>
      <c r="D549" s="467" t="s">
        <v>720</v>
      </c>
      <c r="E549" s="67" t="s">
        <v>713</v>
      </c>
      <c r="F549" s="67" t="s">
        <v>246</v>
      </c>
      <c r="G549" s="67" t="s">
        <v>515</v>
      </c>
      <c r="H549" s="67" t="s">
        <v>609</v>
      </c>
      <c r="I549" s="67" t="s">
        <v>601</v>
      </c>
      <c r="J549" s="67" t="s">
        <v>200</v>
      </c>
      <c r="K549" s="67">
        <v>45.8</v>
      </c>
      <c r="L549" s="299">
        <f t="shared" si="22"/>
        <v>200</v>
      </c>
      <c r="M549" s="221">
        <v>200</v>
      </c>
      <c r="N549" s="220" t="e">
        <f>IF(OR(M549="nio",M549="eigen dienst"),0,IF(M549&gt;0,M549*K549/O549,0))*VLOOKUP(B549,'2-Kosten per locatie'!$A$14:$C$33,3,FALSE)</f>
        <v>#DIV/0!</v>
      </c>
      <c r="O549" s="300">
        <f>IF(OR(M549="nio",M549="eigen dienst"),0,IF(M549&gt;0,VLOOKUP(H549,'3-Productie normen'!A:J,VLOOKUP(M549,'3-Productie normen'!$B$34:$C$35,2,FALSE),FALSE)))</f>
        <v>0</v>
      </c>
      <c r="P549" s="301" t="str">
        <f>VLOOKUP(H549,'3-Productie normen'!A:L,12,FALSE)</f>
        <v>L</v>
      </c>
      <c r="Q549" s="301"/>
      <c r="S549" s="302">
        <f t="shared" si="23"/>
        <v>9160</v>
      </c>
    </row>
    <row r="550" spans="1:19" ht="14.15" customHeight="1">
      <c r="A550" s="71">
        <v>550</v>
      </c>
      <c r="B550" s="67" t="s">
        <v>208</v>
      </c>
      <c r="C550" s="467" t="s">
        <v>618</v>
      </c>
      <c r="D550" s="467" t="s">
        <v>720</v>
      </c>
      <c r="E550" s="67" t="s">
        <v>713</v>
      </c>
      <c r="F550" s="67" t="s">
        <v>476</v>
      </c>
      <c r="G550" s="67" t="s">
        <v>515</v>
      </c>
      <c r="H550" s="67" t="s">
        <v>609</v>
      </c>
      <c r="I550" s="67" t="s">
        <v>601</v>
      </c>
      <c r="J550" s="67" t="s">
        <v>200</v>
      </c>
      <c r="K550" s="67">
        <v>20.100000000000001</v>
      </c>
      <c r="L550" s="299">
        <f t="shared" si="22"/>
        <v>200</v>
      </c>
      <c r="M550" s="221">
        <v>200</v>
      </c>
      <c r="N550" s="220" t="e">
        <f>IF(OR(M550="nio",M550="eigen dienst"),0,IF(M550&gt;0,M550*K550/O550,0))*VLOOKUP(B550,'2-Kosten per locatie'!$A$14:$C$33,3,FALSE)</f>
        <v>#DIV/0!</v>
      </c>
      <c r="O550" s="300">
        <f>IF(OR(M550="nio",M550="eigen dienst"),0,IF(M550&gt;0,VLOOKUP(H550,'3-Productie normen'!A:J,VLOOKUP(M550,'3-Productie normen'!$B$34:$C$35,2,FALSE),FALSE)))</f>
        <v>0</v>
      </c>
      <c r="P550" s="301" t="str">
        <f>VLOOKUP(H550,'3-Productie normen'!A:L,12,FALSE)</f>
        <v>L</v>
      </c>
      <c r="Q550" s="301"/>
      <c r="S550" s="302">
        <f t="shared" si="23"/>
        <v>4020.0000000000005</v>
      </c>
    </row>
    <row r="551" spans="1:19" ht="14.15" customHeight="1">
      <c r="A551" s="71">
        <v>551</v>
      </c>
      <c r="B551" s="67" t="s">
        <v>208</v>
      </c>
      <c r="C551" s="467" t="s">
        <v>618</v>
      </c>
      <c r="D551" s="467" t="s">
        <v>720</v>
      </c>
      <c r="E551" s="67" t="s">
        <v>713</v>
      </c>
      <c r="F551" s="67" t="s">
        <v>477</v>
      </c>
      <c r="G551" s="67" t="s">
        <v>522</v>
      </c>
      <c r="H551" s="67" t="s">
        <v>44</v>
      </c>
      <c r="I551" s="67" t="s">
        <v>601</v>
      </c>
      <c r="J551" s="67" t="s">
        <v>200</v>
      </c>
      <c r="K551" s="67">
        <v>2.9</v>
      </c>
      <c r="L551" s="299">
        <f t="shared" ref="L551" si="26">SUM(M551:M551)</f>
        <v>0</v>
      </c>
      <c r="M551" s="221" t="s">
        <v>629</v>
      </c>
      <c r="N551" s="220">
        <f>IF(OR(M551="nio",M551="eigen dienst"),0,IF(M551&gt;0,M551*K551/O551,0))*VLOOKUP(B551,'2-Kosten per locatie'!$A$14:$C$33,3,FALSE)</f>
        <v>0</v>
      </c>
      <c r="O551" s="300">
        <f>IF(OR(M551="nio",M551="eigen dienst"),0,IF(M551&gt;0,VLOOKUP(H551,'3-Productie normen'!A:J,VLOOKUP(M551,'3-Productie normen'!$B$34:$C$35,2,FALSE),FALSE)))</f>
        <v>0</v>
      </c>
      <c r="P551" s="301" t="str">
        <f>VLOOKUP(H551,'3-Productie normen'!A:L,12,FALSE)</f>
        <v>V</v>
      </c>
      <c r="Q551" s="301"/>
      <c r="S551" s="302">
        <f t="shared" si="23"/>
        <v>0</v>
      </c>
    </row>
    <row r="552" spans="1:19" ht="14.15" customHeight="1">
      <c r="A552" s="71">
        <v>552</v>
      </c>
      <c r="B552" s="67" t="s">
        <v>208</v>
      </c>
      <c r="C552" s="467" t="s">
        <v>618</v>
      </c>
      <c r="D552" s="467" t="s">
        <v>720</v>
      </c>
      <c r="E552" s="67" t="s">
        <v>713</v>
      </c>
      <c r="F552" s="67" t="s">
        <v>478</v>
      </c>
      <c r="G552" s="67" t="s">
        <v>572</v>
      </c>
      <c r="H552" s="67" t="s">
        <v>610</v>
      </c>
      <c r="I552" s="67" t="s">
        <v>601</v>
      </c>
      <c r="J552" s="67" t="s">
        <v>200</v>
      </c>
      <c r="K552" s="67">
        <v>8.1999999999999993</v>
      </c>
      <c r="L552" s="299">
        <f t="shared" si="22"/>
        <v>200</v>
      </c>
      <c r="M552" s="221">
        <v>200</v>
      </c>
      <c r="N552" s="220" t="e">
        <f>IF(OR(M552="nio",M552="eigen dienst"),0,IF(M552&gt;0,M552*K552/O552,0))*VLOOKUP(B552,'2-Kosten per locatie'!$A$14:$C$33,3,FALSE)</f>
        <v>#DIV/0!</v>
      </c>
      <c r="O552" s="300">
        <f>IF(OR(M552="nio",M552="eigen dienst"),0,IF(M552&gt;0,VLOOKUP(H552,'3-Productie normen'!A:J,VLOOKUP(M552,'3-Productie normen'!$B$34:$C$35,2,FALSE),FALSE)))</f>
        <v>0</v>
      </c>
      <c r="P552" s="301" t="str">
        <f>VLOOKUP(H552,'3-Productie normen'!A:L,12,FALSE)</f>
        <v>S</v>
      </c>
      <c r="Q552" s="301"/>
      <c r="S552" s="302">
        <f t="shared" si="23"/>
        <v>1639.9999999999998</v>
      </c>
    </row>
    <row r="553" spans="1:19" ht="14.15" customHeight="1">
      <c r="A553" s="71">
        <v>553</v>
      </c>
      <c r="B553" s="67" t="s">
        <v>208</v>
      </c>
      <c r="C553" s="467" t="s">
        <v>618</v>
      </c>
      <c r="D553" s="467" t="s">
        <v>720</v>
      </c>
      <c r="E553" s="67" t="s">
        <v>713</v>
      </c>
      <c r="F553" s="67" t="s">
        <v>222</v>
      </c>
      <c r="G553" s="67" t="s">
        <v>565</v>
      </c>
      <c r="H553" s="67" t="s">
        <v>43</v>
      </c>
      <c r="I553" s="67" t="s">
        <v>70</v>
      </c>
      <c r="J553" s="56" t="s">
        <v>70</v>
      </c>
      <c r="K553" s="67">
        <v>13.4</v>
      </c>
      <c r="L553" s="299">
        <f t="shared" si="22"/>
        <v>200</v>
      </c>
      <c r="M553" s="221">
        <v>200</v>
      </c>
      <c r="N553" s="220" t="e">
        <f>IF(OR(M553="nio",M553="eigen dienst"),0,IF(M553&gt;0,M553*K553/O553,0))*VLOOKUP(B553,'2-Kosten per locatie'!$A$14:$C$33,3,FALSE)</f>
        <v>#DIV/0!</v>
      </c>
      <c r="O553" s="300">
        <f>IF(OR(M553="nio",M553="eigen dienst"),0,IF(M553&gt;0,VLOOKUP(H553,'3-Productie normen'!A:J,VLOOKUP(M553,'3-Productie normen'!$B$34:$C$35,2,FALSE),FALSE)))</f>
        <v>0</v>
      </c>
      <c r="P553" s="301" t="str">
        <f>VLOOKUP(H553,'3-Productie normen'!A:L,12,FALSE)</f>
        <v>B</v>
      </c>
      <c r="Q553" s="301"/>
      <c r="S553" s="302">
        <f t="shared" si="23"/>
        <v>2680</v>
      </c>
    </row>
    <row r="554" spans="1:19" ht="14.15" customHeight="1">
      <c r="A554" s="71">
        <v>554</v>
      </c>
      <c r="B554" s="67" t="s">
        <v>208</v>
      </c>
      <c r="C554" s="467" t="s">
        <v>618</v>
      </c>
      <c r="D554" s="467" t="s">
        <v>720</v>
      </c>
      <c r="E554" s="67" t="s">
        <v>713</v>
      </c>
      <c r="F554" s="67" t="s">
        <v>248</v>
      </c>
      <c r="G554" s="67" t="s">
        <v>512</v>
      </c>
      <c r="H554" s="67" t="s">
        <v>39</v>
      </c>
      <c r="I554" s="67" t="s">
        <v>70</v>
      </c>
      <c r="J554" s="67" t="s">
        <v>70</v>
      </c>
      <c r="K554" s="67">
        <v>40.1</v>
      </c>
      <c r="L554" s="299">
        <f t="shared" si="22"/>
        <v>200</v>
      </c>
      <c r="M554" s="221">
        <v>200</v>
      </c>
      <c r="N554" s="220" t="e">
        <f>IF(OR(M554="nio",M554="eigen dienst"),0,IF(M554&gt;0,M554*K554/O554,0))*VLOOKUP(B554,'2-Kosten per locatie'!$A$14:$C$33,3,FALSE)</f>
        <v>#DIV/0!</v>
      </c>
      <c r="O554" s="300">
        <f>IF(OR(M554="nio",M554="eigen dienst"),0,IF(M554&gt;0,VLOOKUP(H554,'3-Productie normen'!A:J,VLOOKUP(M554,'3-Productie normen'!$B$34:$C$35,2,FALSE),FALSE)))</f>
        <v>0</v>
      </c>
      <c r="P554" s="301" t="str">
        <f>VLOOKUP(H554,'3-Productie normen'!A:L,12,FALSE)</f>
        <v>V</v>
      </c>
      <c r="Q554" s="301"/>
      <c r="S554" s="302">
        <f t="shared" si="23"/>
        <v>8020</v>
      </c>
    </row>
    <row r="555" spans="1:19" ht="14.15" customHeight="1">
      <c r="A555" s="71">
        <v>555</v>
      </c>
      <c r="B555" s="67" t="s">
        <v>208</v>
      </c>
      <c r="C555" s="467" t="s">
        <v>618</v>
      </c>
      <c r="D555" s="467" t="s">
        <v>720</v>
      </c>
      <c r="E555" s="67" t="s">
        <v>713</v>
      </c>
      <c r="F555" s="67" t="s">
        <v>249</v>
      </c>
      <c r="G555" s="67" t="s">
        <v>515</v>
      </c>
      <c r="H555" s="67" t="s">
        <v>609</v>
      </c>
      <c r="I555" s="67" t="s">
        <v>70</v>
      </c>
      <c r="J555" s="67" t="s">
        <v>70</v>
      </c>
      <c r="K555" s="67">
        <v>50.4</v>
      </c>
      <c r="L555" s="299">
        <f t="shared" si="22"/>
        <v>200</v>
      </c>
      <c r="M555" s="221">
        <v>200</v>
      </c>
      <c r="N555" s="220" t="e">
        <f>IF(OR(M555="nio",M555="eigen dienst"),0,IF(M555&gt;0,M555*K555/O555,0))*VLOOKUP(B555,'2-Kosten per locatie'!$A$14:$C$33,3,FALSE)</f>
        <v>#DIV/0!</v>
      </c>
      <c r="O555" s="300">
        <f>IF(OR(M555="nio",M555="eigen dienst"),0,IF(M555&gt;0,VLOOKUP(H555,'3-Productie normen'!A:J,VLOOKUP(M555,'3-Productie normen'!$B$34:$C$35,2,FALSE),FALSE)))</f>
        <v>0</v>
      </c>
      <c r="P555" s="301" t="str">
        <f>VLOOKUP(H555,'3-Productie normen'!A:L,12,FALSE)</f>
        <v>L</v>
      </c>
      <c r="Q555" s="301"/>
      <c r="S555" s="302">
        <f t="shared" si="23"/>
        <v>10080</v>
      </c>
    </row>
    <row r="556" spans="1:19" ht="14.15" customHeight="1">
      <c r="A556" s="71">
        <v>556</v>
      </c>
      <c r="B556" s="67" t="s">
        <v>208</v>
      </c>
      <c r="C556" s="467" t="s">
        <v>618</v>
      </c>
      <c r="D556" s="467" t="s">
        <v>720</v>
      </c>
      <c r="E556" s="67" t="s">
        <v>713</v>
      </c>
      <c r="F556" s="67" t="s">
        <v>250</v>
      </c>
      <c r="G556" s="67" t="s">
        <v>562</v>
      </c>
      <c r="H556" s="67" t="s">
        <v>44</v>
      </c>
      <c r="I556" s="67" t="s">
        <v>70</v>
      </c>
      <c r="J556" s="67" t="s">
        <v>70</v>
      </c>
      <c r="K556" s="67"/>
      <c r="L556" s="299">
        <f t="shared" ref="L556" si="27">SUM(M556:M556)</f>
        <v>0</v>
      </c>
      <c r="M556" s="221" t="s">
        <v>629</v>
      </c>
      <c r="N556" s="220">
        <f>IF(OR(M556="nio",M556="eigen dienst"),0,IF(M556&gt;0,M556*K556/O556,0))*VLOOKUP(B556,'2-Kosten per locatie'!$A$14:$C$33,3,FALSE)</f>
        <v>0</v>
      </c>
      <c r="O556" s="300">
        <f>IF(OR(M556="nio",M556="eigen dienst"),0,IF(M556&gt;0,VLOOKUP(H556,'3-Productie normen'!A:J,VLOOKUP(M556,'3-Productie normen'!$B$34:$C$35,2,FALSE),FALSE)))</f>
        <v>0</v>
      </c>
      <c r="P556" s="301" t="str">
        <f>VLOOKUP(H556,'3-Productie normen'!A:L,12,FALSE)</f>
        <v>V</v>
      </c>
      <c r="Q556" s="301"/>
      <c r="S556" s="302">
        <f t="shared" si="23"/>
        <v>0</v>
      </c>
    </row>
    <row r="557" spans="1:19" ht="14.15" customHeight="1">
      <c r="A557" s="71">
        <v>557</v>
      </c>
      <c r="B557" s="67" t="s">
        <v>208</v>
      </c>
      <c r="C557" s="467" t="s">
        <v>618</v>
      </c>
      <c r="D557" s="467" t="s">
        <v>720</v>
      </c>
      <c r="E557" s="67" t="s">
        <v>713</v>
      </c>
      <c r="F557" s="67" t="s">
        <v>479</v>
      </c>
      <c r="G557" s="67" t="s">
        <v>47</v>
      </c>
      <c r="H557" s="67" t="s">
        <v>47</v>
      </c>
      <c r="I557" s="67" t="s">
        <v>70</v>
      </c>
      <c r="J557" s="67" t="s">
        <v>70</v>
      </c>
      <c r="K557" s="67">
        <v>9</v>
      </c>
      <c r="L557" s="299">
        <f t="shared" si="22"/>
        <v>200</v>
      </c>
      <c r="M557" s="221">
        <v>200</v>
      </c>
      <c r="N557" s="220" t="e">
        <f>IF(OR(M557="nio",M557="eigen dienst"),0,IF(M557&gt;0,M557*K557/O557,0))*VLOOKUP(B557,'2-Kosten per locatie'!$A$14:$C$33,3,FALSE)</f>
        <v>#DIV/0!</v>
      </c>
      <c r="O557" s="300">
        <f>IF(OR(M557="nio",M557="eigen dienst"),0,IF(M557&gt;0,VLOOKUP(H557,'3-Productie normen'!A:J,VLOOKUP(M557,'3-Productie normen'!$B$34:$C$35,2,FALSE),FALSE)))</f>
        <v>0</v>
      </c>
      <c r="P557" s="301" t="str">
        <f>VLOOKUP(H557,'3-Productie normen'!A:L,12,FALSE)</f>
        <v>V</v>
      </c>
      <c r="Q557" s="301"/>
      <c r="S557" s="302">
        <f t="shared" si="23"/>
        <v>1800</v>
      </c>
    </row>
    <row r="558" spans="1:19" ht="14.15" customHeight="1">
      <c r="A558" s="71">
        <v>558</v>
      </c>
      <c r="B558" s="67" t="s">
        <v>208</v>
      </c>
      <c r="C558" s="467" t="s">
        <v>618</v>
      </c>
      <c r="D558" s="467" t="s">
        <v>720</v>
      </c>
      <c r="E558" s="67" t="s">
        <v>713</v>
      </c>
      <c r="F558" s="67" t="s">
        <v>480</v>
      </c>
      <c r="G558" s="67" t="s">
        <v>514</v>
      </c>
      <c r="H558" s="67" t="s">
        <v>37</v>
      </c>
      <c r="I558" s="67" t="s">
        <v>601</v>
      </c>
      <c r="J558" s="67" t="s">
        <v>179</v>
      </c>
      <c r="K558" s="67">
        <v>8.1999999999999993</v>
      </c>
      <c r="L558" s="299">
        <f t="shared" si="22"/>
        <v>200</v>
      </c>
      <c r="M558" s="221">
        <v>200</v>
      </c>
      <c r="N558" s="220" t="e">
        <f>IF(OR(M558="nio",M558="eigen dienst"),0,IF(M558&gt;0,M558*K558/O558,0))*VLOOKUP(B558,'2-Kosten per locatie'!$A$14:$C$33,3,FALSE)</f>
        <v>#DIV/0!</v>
      </c>
      <c r="O558" s="300">
        <f>IF(OR(M558="nio",M558="eigen dienst"),0,IF(M558&gt;0,VLOOKUP(H558,'3-Productie normen'!A:J,VLOOKUP(M558,'3-Productie normen'!$B$34:$C$35,2,FALSE),FALSE)))</f>
        <v>0</v>
      </c>
      <c r="P558" s="301" t="str">
        <f>VLOOKUP(H558,'3-Productie normen'!A:L,12,FALSE)</f>
        <v>S</v>
      </c>
      <c r="Q558" s="301"/>
      <c r="S558" s="302">
        <f t="shared" si="23"/>
        <v>1639.9999999999998</v>
      </c>
    </row>
    <row r="559" spans="1:19" ht="14.15" customHeight="1">
      <c r="A559" s="71">
        <v>559</v>
      </c>
      <c r="B559" s="67" t="s">
        <v>208</v>
      </c>
      <c r="C559" s="467" t="s">
        <v>618</v>
      </c>
      <c r="D559" s="467" t="s">
        <v>720</v>
      </c>
      <c r="E559" s="67" t="s">
        <v>713</v>
      </c>
      <c r="F559" s="67" t="s">
        <v>481</v>
      </c>
      <c r="G559" s="67" t="s">
        <v>566</v>
      </c>
      <c r="H559" s="67" t="s">
        <v>48</v>
      </c>
      <c r="I559" s="67" t="s">
        <v>606</v>
      </c>
      <c r="J559" s="67" t="s">
        <v>200</v>
      </c>
      <c r="K559" s="67">
        <v>3.8</v>
      </c>
      <c r="L559" s="299">
        <f t="shared" si="22"/>
        <v>200</v>
      </c>
      <c r="M559" s="221">
        <v>200</v>
      </c>
      <c r="N559" s="220" t="e">
        <f>IF(OR(M559="nio",M559="eigen dienst"),0,IF(M559&gt;0,M559*K559/O559,0))*VLOOKUP(B559,'2-Kosten per locatie'!$A$14:$C$33,3,FALSE)</f>
        <v>#DIV/0!</v>
      </c>
      <c r="O559" s="300">
        <f>IF(OR(M559="nio",M559="eigen dienst"),0,IF(M559&gt;0,VLOOKUP(H559,'3-Productie normen'!A:J,VLOOKUP(M559,'3-Productie normen'!$B$34:$C$35,2,FALSE),FALSE)))</f>
        <v>0</v>
      </c>
      <c r="P559" s="301" t="str">
        <f>VLOOKUP(H559,'3-Productie normen'!A:L,12,FALSE)</f>
        <v>V</v>
      </c>
      <c r="Q559" s="301"/>
      <c r="S559" s="302">
        <f t="shared" si="23"/>
        <v>760</v>
      </c>
    </row>
    <row r="560" spans="1:19" ht="14.15" customHeight="1">
      <c r="A560" s="71">
        <v>560</v>
      </c>
      <c r="B560" s="67" t="s">
        <v>208</v>
      </c>
      <c r="C560" s="467" t="s">
        <v>618</v>
      </c>
      <c r="D560" s="467" t="s">
        <v>720</v>
      </c>
      <c r="E560" s="67" t="s">
        <v>713</v>
      </c>
      <c r="F560" s="67" t="s">
        <v>223</v>
      </c>
      <c r="G560" s="67" t="s">
        <v>512</v>
      </c>
      <c r="H560" s="67" t="s">
        <v>39</v>
      </c>
      <c r="I560" s="67" t="s">
        <v>70</v>
      </c>
      <c r="J560" s="67" t="s">
        <v>70</v>
      </c>
      <c r="K560" s="67">
        <v>33</v>
      </c>
      <c r="L560" s="299">
        <f t="shared" si="22"/>
        <v>200</v>
      </c>
      <c r="M560" s="221">
        <v>200</v>
      </c>
      <c r="N560" s="220" t="e">
        <f>IF(OR(M560="nio",M560="eigen dienst"),0,IF(M560&gt;0,M560*K560/O560,0))*VLOOKUP(B560,'2-Kosten per locatie'!$A$14:$C$33,3,FALSE)</f>
        <v>#DIV/0!</v>
      </c>
      <c r="O560" s="300">
        <f>IF(OR(M560="nio",M560="eigen dienst"),0,IF(M560&gt;0,VLOOKUP(H560,'3-Productie normen'!A:J,VLOOKUP(M560,'3-Productie normen'!$B$34:$C$35,2,FALSE),FALSE)))</f>
        <v>0</v>
      </c>
      <c r="P560" s="301" t="str">
        <f>VLOOKUP(H560,'3-Productie normen'!A:L,12,FALSE)</f>
        <v>V</v>
      </c>
      <c r="Q560" s="301"/>
      <c r="S560" s="302">
        <f t="shared" si="23"/>
        <v>6600</v>
      </c>
    </row>
    <row r="561" spans="1:19" ht="14.15" customHeight="1">
      <c r="A561" s="71">
        <v>561</v>
      </c>
      <c r="B561" s="67" t="s">
        <v>208</v>
      </c>
      <c r="C561" s="467" t="s">
        <v>618</v>
      </c>
      <c r="D561" s="467" t="s">
        <v>720</v>
      </c>
      <c r="E561" s="67" t="s">
        <v>713</v>
      </c>
      <c r="F561" s="67" t="s">
        <v>452</v>
      </c>
      <c r="G561" s="67" t="s">
        <v>562</v>
      </c>
      <c r="H561" s="67" t="s">
        <v>44</v>
      </c>
      <c r="I561" s="67" t="s">
        <v>70</v>
      </c>
      <c r="J561" s="67" t="s">
        <v>70</v>
      </c>
      <c r="K561" s="67">
        <v>2</v>
      </c>
      <c r="L561" s="299">
        <f t="shared" ref="L561" si="28">SUM(M561:M561)</f>
        <v>0</v>
      </c>
      <c r="M561" s="221" t="s">
        <v>629</v>
      </c>
      <c r="N561" s="220">
        <f>IF(OR(M561="nio",M561="eigen dienst"),0,IF(M561&gt;0,M561*K561/O561,0))*VLOOKUP(B561,'2-Kosten per locatie'!$A$14:$C$33,3,FALSE)</f>
        <v>0</v>
      </c>
      <c r="O561" s="300">
        <f>IF(OR(M561="nio",M561="eigen dienst"),0,IF(M561&gt;0,VLOOKUP(H561,'3-Productie normen'!A:J,VLOOKUP(M561,'3-Productie normen'!$B$34:$C$35,2,FALSE),FALSE)))</f>
        <v>0</v>
      </c>
      <c r="P561" s="301" t="str">
        <f>VLOOKUP(H561,'3-Productie normen'!A:L,12,FALSE)</f>
        <v>V</v>
      </c>
      <c r="Q561" s="301"/>
      <c r="S561" s="302">
        <f t="shared" si="23"/>
        <v>0</v>
      </c>
    </row>
    <row r="562" spans="1:19" ht="14.15" customHeight="1">
      <c r="A562" s="71">
        <v>562</v>
      </c>
      <c r="B562" s="67" t="s">
        <v>208</v>
      </c>
      <c r="C562" s="467" t="s">
        <v>618</v>
      </c>
      <c r="D562" s="467" t="s">
        <v>720</v>
      </c>
      <c r="E562" s="67" t="s">
        <v>713</v>
      </c>
      <c r="F562" s="67" t="s">
        <v>453</v>
      </c>
      <c r="G562" s="67" t="s">
        <v>566</v>
      </c>
      <c r="H562" s="67" t="s">
        <v>48</v>
      </c>
      <c r="I562" s="67" t="s">
        <v>606</v>
      </c>
      <c r="J562" s="56" t="s">
        <v>200</v>
      </c>
      <c r="K562" s="67">
        <v>3.8</v>
      </c>
      <c r="L562" s="299">
        <f t="shared" si="22"/>
        <v>200</v>
      </c>
      <c r="M562" s="221">
        <v>200</v>
      </c>
      <c r="N562" s="220" t="e">
        <f>IF(OR(M562="nio",M562="eigen dienst"),0,IF(M562&gt;0,M562*K562/O562,0))*VLOOKUP(B562,'2-Kosten per locatie'!$A$14:$C$33,3,FALSE)</f>
        <v>#DIV/0!</v>
      </c>
      <c r="O562" s="300">
        <f>IF(OR(M562="nio",M562="eigen dienst"),0,IF(M562&gt;0,VLOOKUP(H562,'3-Productie normen'!A:J,VLOOKUP(M562,'3-Productie normen'!$B$34:$C$35,2,FALSE),FALSE)))</f>
        <v>0</v>
      </c>
      <c r="P562" s="301" t="str">
        <f>VLOOKUP(H562,'3-Productie normen'!A:L,12,FALSE)</f>
        <v>V</v>
      </c>
      <c r="Q562" s="301"/>
      <c r="S562" s="302">
        <f t="shared" si="23"/>
        <v>760</v>
      </c>
    </row>
    <row r="563" spans="1:19" ht="14.15" customHeight="1">
      <c r="A563" s="71">
        <v>563</v>
      </c>
      <c r="B563" s="67" t="s">
        <v>208</v>
      </c>
      <c r="C563" s="467" t="s">
        <v>618</v>
      </c>
      <c r="D563" s="467" t="s">
        <v>720</v>
      </c>
      <c r="E563" s="67" t="s">
        <v>713</v>
      </c>
      <c r="F563" s="67" t="s">
        <v>454</v>
      </c>
      <c r="G563" s="67" t="s">
        <v>515</v>
      </c>
      <c r="H563" s="67" t="s">
        <v>609</v>
      </c>
      <c r="I563" s="67" t="s">
        <v>70</v>
      </c>
      <c r="J563" s="56" t="s">
        <v>70</v>
      </c>
      <c r="K563" s="67">
        <v>22.2</v>
      </c>
      <c r="L563" s="299">
        <f t="shared" si="22"/>
        <v>200</v>
      </c>
      <c r="M563" s="221">
        <v>200</v>
      </c>
      <c r="N563" s="220" t="e">
        <f>IF(OR(M563="nio",M563="eigen dienst"),0,IF(M563&gt;0,M563*K563/O563,0))*VLOOKUP(B563,'2-Kosten per locatie'!$A$14:$C$33,3,FALSE)</f>
        <v>#DIV/0!</v>
      </c>
      <c r="O563" s="300">
        <f>IF(OR(M563="nio",M563="eigen dienst"),0,IF(M563&gt;0,VLOOKUP(H563,'3-Productie normen'!A:J,VLOOKUP(M563,'3-Productie normen'!$B$34:$C$35,2,FALSE),FALSE)))</f>
        <v>0</v>
      </c>
      <c r="P563" s="301" t="str">
        <f>VLOOKUP(H563,'3-Productie normen'!A:L,12,FALSE)</f>
        <v>L</v>
      </c>
      <c r="Q563" s="301"/>
      <c r="S563" s="302">
        <f t="shared" si="23"/>
        <v>4440</v>
      </c>
    </row>
    <row r="564" spans="1:19" ht="14.15" customHeight="1">
      <c r="A564" s="71">
        <v>564</v>
      </c>
      <c r="B564" s="67" t="s">
        <v>208</v>
      </c>
      <c r="C564" s="467" t="s">
        <v>618</v>
      </c>
      <c r="D564" s="467" t="s">
        <v>720</v>
      </c>
      <c r="E564" s="67" t="s">
        <v>713</v>
      </c>
      <c r="F564" s="67" t="s">
        <v>455</v>
      </c>
      <c r="G564" s="67" t="s">
        <v>514</v>
      </c>
      <c r="H564" s="67" t="s">
        <v>37</v>
      </c>
      <c r="I564" s="67" t="s">
        <v>601</v>
      </c>
      <c r="J564" s="67" t="s">
        <v>179</v>
      </c>
      <c r="K564" s="67">
        <v>16.8</v>
      </c>
      <c r="L564" s="299">
        <f t="shared" si="22"/>
        <v>200</v>
      </c>
      <c r="M564" s="221">
        <v>200</v>
      </c>
      <c r="N564" s="220" t="e">
        <f>IF(OR(M564="nio",M564="eigen dienst"),0,IF(M564&gt;0,M564*K564/O564,0))*VLOOKUP(B564,'2-Kosten per locatie'!$A$14:$C$33,3,FALSE)</f>
        <v>#DIV/0!</v>
      </c>
      <c r="O564" s="300">
        <f>IF(OR(M564="nio",M564="eigen dienst"),0,IF(M564&gt;0,VLOOKUP(H564,'3-Productie normen'!A:J,VLOOKUP(M564,'3-Productie normen'!$B$34:$C$35,2,FALSE),FALSE)))</f>
        <v>0</v>
      </c>
      <c r="P564" s="301" t="str">
        <f>VLOOKUP(H564,'3-Productie normen'!A:L,12,FALSE)</f>
        <v>S</v>
      </c>
      <c r="Q564" s="301"/>
      <c r="S564" s="302">
        <f t="shared" si="23"/>
        <v>3360</v>
      </c>
    </row>
    <row r="565" spans="1:19" ht="14.15" customHeight="1">
      <c r="A565" s="71">
        <v>565</v>
      </c>
      <c r="B565" s="67" t="s">
        <v>208</v>
      </c>
      <c r="C565" s="467" t="s">
        <v>618</v>
      </c>
      <c r="D565" s="467" t="s">
        <v>720</v>
      </c>
      <c r="E565" s="67" t="s">
        <v>713</v>
      </c>
      <c r="F565" s="67" t="s">
        <v>456</v>
      </c>
      <c r="G565" s="67" t="s">
        <v>518</v>
      </c>
      <c r="H565" s="67" t="s">
        <v>44</v>
      </c>
      <c r="I565" s="67" t="s">
        <v>70</v>
      </c>
      <c r="J565" s="67" t="s">
        <v>70</v>
      </c>
      <c r="K565" s="67">
        <v>6.5</v>
      </c>
      <c r="L565" s="299">
        <f t="shared" ref="L565" si="29">SUM(M565:M565)</f>
        <v>0</v>
      </c>
      <c r="M565" s="221" t="s">
        <v>629</v>
      </c>
      <c r="N565" s="220">
        <f>IF(OR(M565="nio",M565="eigen dienst"),0,IF(M565&gt;0,M565*K565/O565,0))*VLOOKUP(B565,'2-Kosten per locatie'!$A$14:$C$33,3,FALSE)</f>
        <v>0</v>
      </c>
      <c r="O565" s="300">
        <f>IF(OR(M565="nio",M565="eigen dienst"),0,IF(M565&gt;0,VLOOKUP(H565,'3-Productie normen'!A:J,VLOOKUP(M565,'3-Productie normen'!$B$34:$C$35,2,FALSE),FALSE)))</f>
        <v>0</v>
      </c>
      <c r="P565" s="301" t="str">
        <f>VLOOKUP(H565,'3-Productie normen'!A:L,12,FALSE)</f>
        <v>V</v>
      </c>
      <c r="Q565" s="301"/>
      <c r="S565" s="302">
        <f t="shared" si="23"/>
        <v>0</v>
      </c>
    </row>
    <row r="566" spans="1:19" ht="14.15" customHeight="1">
      <c r="A566" s="71">
        <v>566</v>
      </c>
      <c r="B566" s="67" t="s">
        <v>208</v>
      </c>
      <c r="C566" s="467" t="s">
        <v>618</v>
      </c>
      <c r="D566" s="467" t="s">
        <v>720</v>
      </c>
      <c r="E566" s="67" t="s">
        <v>713</v>
      </c>
      <c r="F566" s="67" t="s">
        <v>457</v>
      </c>
      <c r="G566" s="67" t="s">
        <v>516</v>
      </c>
      <c r="H566" s="67" t="s">
        <v>35</v>
      </c>
      <c r="I566" s="67" t="s">
        <v>70</v>
      </c>
      <c r="J566" s="67" t="s">
        <v>70</v>
      </c>
      <c r="K566" s="67">
        <v>15.6</v>
      </c>
      <c r="L566" s="299">
        <f t="shared" si="22"/>
        <v>200</v>
      </c>
      <c r="M566" s="221">
        <v>200</v>
      </c>
      <c r="N566" s="220" t="e">
        <f>IF(OR(M566="nio",M566="eigen dienst"),0,IF(M566&gt;0,M566*K566/O566,0))*VLOOKUP(B566,'2-Kosten per locatie'!$A$14:$C$33,3,FALSE)</f>
        <v>#DIV/0!</v>
      </c>
      <c r="O566" s="300">
        <f>IF(OR(M566="nio",M566="eigen dienst"),0,IF(M566&gt;0,VLOOKUP(H566,'3-Productie normen'!A:J,VLOOKUP(M566,'3-Productie normen'!$B$34:$C$35,2,FALSE),FALSE)))</f>
        <v>0</v>
      </c>
      <c r="P566" s="301" t="str">
        <f>VLOOKUP(H566,'3-Productie normen'!A:L,12,FALSE)</f>
        <v>B</v>
      </c>
      <c r="Q566" s="301"/>
      <c r="S566" s="302">
        <f t="shared" si="23"/>
        <v>3120</v>
      </c>
    </row>
    <row r="567" spans="1:19" ht="14.15" customHeight="1">
      <c r="A567" s="71">
        <v>567</v>
      </c>
      <c r="B567" s="67" t="s">
        <v>208</v>
      </c>
      <c r="C567" s="467" t="s">
        <v>618</v>
      </c>
      <c r="D567" s="467" t="s">
        <v>720</v>
      </c>
      <c r="E567" s="67" t="s">
        <v>713</v>
      </c>
      <c r="F567" s="67" t="s">
        <v>458</v>
      </c>
      <c r="G567" s="67" t="s">
        <v>560</v>
      </c>
      <c r="H567" s="67" t="s">
        <v>43</v>
      </c>
      <c r="I567" s="67" t="s">
        <v>70</v>
      </c>
      <c r="J567" s="67" t="s">
        <v>70</v>
      </c>
      <c r="K567" s="67">
        <v>29.6</v>
      </c>
      <c r="L567" s="299">
        <f t="shared" si="22"/>
        <v>200</v>
      </c>
      <c r="M567" s="221">
        <v>200</v>
      </c>
      <c r="N567" s="220" t="e">
        <f>IF(OR(M567="nio",M567="eigen dienst"),0,IF(M567&gt;0,M567*K567/O567,0))*VLOOKUP(B567,'2-Kosten per locatie'!$A$14:$C$33,3,FALSE)</f>
        <v>#DIV/0!</v>
      </c>
      <c r="O567" s="300">
        <f>IF(OR(M567="nio",M567="eigen dienst"),0,IF(M567&gt;0,VLOOKUP(H567,'3-Productie normen'!A:J,VLOOKUP(M567,'3-Productie normen'!$B$34:$C$35,2,FALSE),FALSE)))</f>
        <v>0</v>
      </c>
      <c r="P567" s="301" t="str">
        <f>VLOOKUP(H567,'3-Productie normen'!A:L,12,FALSE)</f>
        <v>B</v>
      </c>
      <c r="Q567" s="301"/>
      <c r="S567" s="302">
        <f t="shared" si="23"/>
        <v>5920</v>
      </c>
    </row>
    <row r="568" spans="1:19" ht="14.15" customHeight="1">
      <c r="A568" s="71">
        <v>568</v>
      </c>
      <c r="B568" s="67" t="s">
        <v>208</v>
      </c>
      <c r="C568" s="467" t="s">
        <v>618</v>
      </c>
      <c r="D568" s="467" t="s">
        <v>720</v>
      </c>
      <c r="E568" s="67" t="s">
        <v>713</v>
      </c>
      <c r="F568" s="67" t="s">
        <v>225</v>
      </c>
      <c r="G568" s="67" t="s">
        <v>512</v>
      </c>
      <c r="H568" s="67" t="s">
        <v>39</v>
      </c>
      <c r="I568" s="67" t="s">
        <v>70</v>
      </c>
      <c r="J568" s="67" t="s">
        <v>70</v>
      </c>
      <c r="K568" s="67">
        <v>26.4</v>
      </c>
      <c r="L568" s="299">
        <f t="shared" si="22"/>
        <v>200</v>
      </c>
      <c r="M568" s="221">
        <v>200</v>
      </c>
      <c r="N568" s="220" t="e">
        <f>IF(OR(M568="nio",M568="eigen dienst"),0,IF(M568&gt;0,M568*K568/O568,0))*VLOOKUP(B568,'2-Kosten per locatie'!$A$14:$C$33,3,FALSE)</f>
        <v>#DIV/0!</v>
      </c>
      <c r="O568" s="300">
        <f>IF(OR(M568="nio",M568="eigen dienst"),0,IF(M568&gt;0,VLOOKUP(H568,'3-Productie normen'!A:J,VLOOKUP(M568,'3-Productie normen'!$B$34:$C$35,2,FALSE),FALSE)))</f>
        <v>0</v>
      </c>
      <c r="P568" s="301" t="str">
        <f>VLOOKUP(H568,'3-Productie normen'!A:L,12,FALSE)</f>
        <v>V</v>
      </c>
      <c r="Q568" s="301"/>
      <c r="S568" s="302">
        <f t="shared" si="23"/>
        <v>5280</v>
      </c>
    </row>
    <row r="569" spans="1:19" ht="14.15" customHeight="1">
      <c r="A569" s="71">
        <v>569</v>
      </c>
      <c r="B569" s="67" t="s">
        <v>208</v>
      </c>
      <c r="C569" s="467" t="s">
        <v>618</v>
      </c>
      <c r="D569" s="467" t="s">
        <v>720</v>
      </c>
      <c r="E569" s="67" t="s">
        <v>713</v>
      </c>
      <c r="F569" s="67" t="s">
        <v>459</v>
      </c>
      <c r="G569" s="67" t="s">
        <v>516</v>
      </c>
      <c r="H569" s="67" t="s">
        <v>35</v>
      </c>
      <c r="I569" s="67" t="s">
        <v>70</v>
      </c>
      <c r="J569" s="67" t="s">
        <v>70</v>
      </c>
      <c r="K569" s="67">
        <v>11</v>
      </c>
      <c r="L569" s="299">
        <f t="shared" si="22"/>
        <v>200</v>
      </c>
      <c r="M569" s="221">
        <v>200</v>
      </c>
      <c r="N569" s="220" t="e">
        <f>IF(OR(M569="nio",M569="eigen dienst"),0,IF(M569&gt;0,M569*K569/O569,0))*VLOOKUP(B569,'2-Kosten per locatie'!$A$14:$C$33,3,FALSE)</f>
        <v>#DIV/0!</v>
      </c>
      <c r="O569" s="300">
        <f>IF(OR(M569="nio",M569="eigen dienst"),0,IF(M569&gt;0,VLOOKUP(H569,'3-Productie normen'!A:J,VLOOKUP(M569,'3-Productie normen'!$B$34:$C$35,2,FALSE),FALSE)))</f>
        <v>0</v>
      </c>
      <c r="P569" s="301" t="str">
        <f>VLOOKUP(H569,'3-Productie normen'!A:L,12,FALSE)</f>
        <v>B</v>
      </c>
      <c r="Q569" s="301"/>
      <c r="S569" s="302">
        <f t="shared" si="23"/>
        <v>2200</v>
      </c>
    </row>
    <row r="570" spans="1:19" ht="14.15" customHeight="1">
      <c r="A570" s="71">
        <v>570</v>
      </c>
      <c r="B570" s="67" t="s">
        <v>208</v>
      </c>
      <c r="C570" s="467" t="s">
        <v>618</v>
      </c>
      <c r="D570" s="467" t="s">
        <v>720</v>
      </c>
      <c r="E570" s="67" t="s">
        <v>713</v>
      </c>
      <c r="F570" s="67" t="s">
        <v>460</v>
      </c>
      <c r="G570" s="67" t="s">
        <v>516</v>
      </c>
      <c r="H570" s="67" t="s">
        <v>35</v>
      </c>
      <c r="I570" s="67" t="s">
        <v>70</v>
      </c>
      <c r="J570" s="67" t="s">
        <v>70</v>
      </c>
      <c r="K570" s="67">
        <v>22.6</v>
      </c>
      <c r="L570" s="299">
        <f t="shared" si="22"/>
        <v>200</v>
      </c>
      <c r="M570" s="221">
        <v>200</v>
      </c>
      <c r="N570" s="220" t="e">
        <f>IF(OR(M570="nio",M570="eigen dienst"),0,IF(M570&gt;0,M570*K570/O570,0))*VLOOKUP(B570,'2-Kosten per locatie'!$A$14:$C$33,3,FALSE)</f>
        <v>#DIV/0!</v>
      </c>
      <c r="O570" s="300">
        <f>IF(OR(M570="nio",M570="eigen dienst"),0,IF(M570&gt;0,VLOOKUP(H570,'3-Productie normen'!A:J,VLOOKUP(M570,'3-Productie normen'!$B$34:$C$35,2,FALSE),FALSE)))</f>
        <v>0</v>
      </c>
      <c r="P570" s="301" t="str">
        <f>VLOOKUP(H570,'3-Productie normen'!A:L,12,FALSE)</f>
        <v>B</v>
      </c>
      <c r="Q570" s="301"/>
      <c r="S570" s="302">
        <f t="shared" si="23"/>
        <v>4520</v>
      </c>
    </row>
    <row r="571" spans="1:19" ht="14.15" customHeight="1">
      <c r="A571" s="71">
        <v>571</v>
      </c>
      <c r="B571" s="67" t="s">
        <v>208</v>
      </c>
      <c r="C571" s="467" t="s">
        <v>618</v>
      </c>
      <c r="D571" s="467" t="s">
        <v>720</v>
      </c>
      <c r="E571" s="67" t="s">
        <v>713</v>
      </c>
      <c r="F571" s="67" t="s">
        <v>461</v>
      </c>
      <c r="G571" s="67" t="s">
        <v>567</v>
      </c>
      <c r="H571" s="67" t="s">
        <v>41</v>
      </c>
      <c r="I571" s="67" t="s">
        <v>70</v>
      </c>
      <c r="J571" s="67" t="s">
        <v>70</v>
      </c>
      <c r="K571" s="67">
        <v>7.8</v>
      </c>
      <c r="L571" s="299">
        <f t="shared" si="22"/>
        <v>200</v>
      </c>
      <c r="M571" s="221">
        <v>200</v>
      </c>
      <c r="N571" s="220" t="e">
        <f>IF(OR(M571="nio",M571="eigen dienst"),0,IF(M571&gt;0,M571*K571/O571,0))*VLOOKUP(B571,'2-Kosten per locatie'!$A$14:$C$33,3,FALSE)</f>
        <v>#DIV/0!</v>
      </c>
      <c r="O571" s="300">
        <f>IF(OR(M571="nio",M571="eigen dienst"),0,IF(M571&gt;0,VLOOKUP(H571,'3-Productie normen'!A:J,VLOOKUP(M571,'3-Productie normen'!$B$34:$C$35,2,FALSE),FALSE)))</f>
        <v>0</v>
      </c>
      <c r="P571" s="301" t="str">
        <f>VLOOKUP(H571,'3-Productie normen'!A:L,12,FALSE)</f>
        <v>V</v>
      </c>
      <c r="Q571" s="301"/>
      <c r="S571" s="302">
        <f t="shared" si="23"/>
        <v>1560</v>
      </c>
    </row>
    <row r="572" spans="1:19" ht="14.15" customHeight="1">
      <c r="A572" s="71">
        <v>572</v>
      </c>
      <c r="B572" s="67" t="s">
        <v>208</v>
      </c>
      <c r="C572" s="467" t="s">
        <v>618</v>
      </c>
      <c r="D572" s="467" t="s">
        <v>720</v>
      </c>
      <c r="E572" s="67" t="s">
        <v>713</v>
      </c>
      <c r="F572" s="67" t="s">
        <v>227</v>
      </c>
      <c r="G572" s="67" t="s">
        <v>514</v>
      </c>
      <c r="H572" s="67" t="s">
        <v>37</v>
      </c>
      <c r="I572" s="67" t="s">
        <v>601</v>
      </c>
      <c r="J572" s="67" t="s">
        <v>179</v>
      </c>
      <c r="K572" s="67">
        <v>2.1</v>
      </c>
      <c r="L572" s="299">
        <f t="shared" si="22"/>
        <v>200</v>
      </c>
      <c r="M572" s="221">
        <v>200</v>
      </c>
      <c r="N572" s="220" t="e">
        <f>IF(OR(M572="nio",M572="eigen dienst"),0,IF(M572&gt;0,M572*K572/O572,0))*VLOOKUP(B572,'2-Kosten per locatie'!$A$14:$C$33,3,FALSE)</f>
        <v>#DIV/0!</v>
      </c>
      <c r="O572" s="300">
        <f>IF(OR(M572="nio",M572="eigen dienst"),0,IF(M572&gt;0,VLOOKUP(H572,'3-Productie normen'!A:J,VLOOKUP(M572,'3-Productie normen'!$B$34:$C$35,2,FALSE),FALSE)))</f>
        <v>0</v>
      </c>
      <c r="P572" s="301" t="str">
        <f>VLOOKUP(H572,'3-Productie normen'!A:L,12,FALSE)</f>
        <v>S</v>
      </c>
      <c r="Q572" s="301"/>
      <c r="S572" s="302">
        <f t="shared" si="23"/>
        <v>420</v>
      </c>
    </row>
    <row r="573" spans="1:19" ht="14.15" customHeight="1">
      <c r="A573" s="71">
        <v>573</v>
      </c>
      <c r="B573" s="67" t="s">
        <v>208</v>
      </c>
      <c r="C573" s="467" t="s">
        <v>618</v>
      </c>
      <c r="D573" s="467" t="s">
        <v>720</v>
      </c>
      <c r="E573" s="67" t="s">
        <v>714</v>
      </c>
      <c r="F573" s="67" t="s">
        <v>443</v>
      </c>
      <c r="G573" s="67" t="s">
        <v>515</v>
      </c>
      <c r="H573" s="67" t="s">
        <v>609</v>
      </c>
      <c r="I573" s="67" t="s">
        <v>70</v>
      </c>
      <c r="J573" s="67" t="s">
        <v>70</v>
      </c>
      <c r="K573" s="67">
        <v>60</v>
      </c>
      <c r="L573" s="299">
        <f t="shared" si="22"/>
        <v>200</v>
      </c>
      <c r="M573" s="221">
        <v>200</v>
      </c>
      <c r="N573" s="220" t="e">
        <f>IF(OR(M573="nio",M573="eigen dienst"),0,IF(M573&gt;0,M573*K573/O573,0))*VLOOKUP(B573,'2-Kosten per locatie'!$A$14:$C$33,3,FALSE)</f>
        <v>#DIV/0!</v>
      </c>
      <c r="O573" s="300">
        <f>IF(OR(M573="nio",M573="eigen dienst"),0,IF(M573&gt;0,VLOOKUP(H573,'3-Productie normen'!A:J,VLOOKUP(M573,'3-Productie normen'!$B$34:$C$35,2,FALSE),FALSE)))</f>
        <v>0</v>
      </c>
      <c r="P573" s="301" t="str">
        <f>VLOOKUP(H573,'3-Productie normen'!A:L,12,FALSE)</f>
        <v>L</v>
      </c>
      <c r="Q573" s="301"/>
      <c r="S573" s="302">
        <f t="shared" si="23"/>
        <v>12000</v>
      </c>
    </row>
    <row r="574" spans="1:19" ht="14.15" customHeight="1">
      <c r="A574" s="71">
        <v>574</v>
      </c>
      <c r="B574" s="67" t="s">
        <v>208</v>
      </c>
      <c r="C574" s="467" t="s">
        <v>618</v>
      </c>
      <c r="D574" s="467" t="s">
        <v>720</v>
      </c>
      <c r="E574" s="67" t="s">
        <v>714</v>
      </c>
      <c r="F574" s="67" t="s">
        <v>308</v>
      </c>
      <c r="G574" s="67" t="s">
        <v>515</v>
      </c>
      <c r="H574" s="67" t="s">
        <v>609</v>
      </c>
      <c r="I574" s="67" t="s">
        <v>70</v>
      </c>
      <c r="J574" s="67" t="s">
        <v>70</v>
      </c>
      <c r="K574" s="67">
        <v>49</v>
      </c>
      <c r="L574" s="299">
        <f t="shared" si="22"/>
        <v>200</v>
      </c>
      <c r="M574" s="221">
        <v>200</v>
      </c>
      <c r="N574" s="220" t="e">
        <f>IF(OR(M574="nio",M574="eigen dienst"),0,IF(M574&gt;0,M574*K574/O574,0))*VLOOKUP(B574,'2-Kosten per locatie'!$A$14:$C$33,3,FALSE)</f>
        <v>#DIV/0!</v>
      </c>
      <c r="O574" s="300">
        <f>IF(OR(M574="nio",M574="eigen dienst"),0,IF(M574&gt;0,VLOOKUP(H574,'3-Productie normen'!A:J,VLOOKUP(M574,'3-Productie normen'!$B$34:$C$35,2,FALSE),FALSE)))</f>
        <v>0</v>
      </c>
      <c r="P574" s="301" t="str">
        <f>VLOOKUP(H574,'3-Productie normen'!A:L,12,FALSE)</f>
        <v>L</v>
      </c>
      <c r="Q574" s="301"/>
      <c r="S574" s="302">
        <f t="shared" si="23"/>
        <v>9800</v>
      </c>
    </row>
    <row r="575" spans="1:19" ht="14.15" customHeight="1">
      <c r="A575" s="71">
        <v>575</v>
      </c>
      <c r="B575" s="67" t="s">
        <v>208</v>
      </c>
      <c r="C575" s="467" t="s">
        <v>618</v>
      </c>
      <c r="D575" s="467" t="s">
        <v>720</v>
      </c>
      <c r="E575" s="67" t="s">
        <v>714</v>
      </c>
      <c r="F575" s="67" t="s">
        <v>487</v>
      </c>
      <c r="G575" s="67" t="s">
        <v>515</v>
      </c>
      <c r="H575" s="67" t="s">
        <v>609</v>
      </c>
      <c r="I575" s="67" t="s">
        <v>70</v>
      </c>
      <c r="J575" s="67" t="s">
        <v>70</v>
      </c>
      <c r="K575" s="67">
        <v>29</v>
      </c>
      <c r="L575" s="299">
        <f t="shared" si="22"/>
        <v>200</v>
      </c>
      <c r="M575" s="221">
        <v>200</v>
      </c>
      <c r="N575" s="220" t="e">
        <f>IF(OR(M575="nio",M575="eigen dienst"),0,IF(M575&gt;0,M575*K575/O575,0))*VLOOKUP(B575,'2-Kosten per locatie'!$A$14:$C$33,3,FALSE)</f>
        <v>#DIV/0!</v>
      </c>
      <c r="O575" s="300">
        <f>IF(OR(M575="nio",M575="eigen dienst"),0,IF(M575&gt;0,VLOOKUP(H575,'3-Productie normen'!A:J,VLOOKUP(M575,'3-Productie normen'!$B$34:$C$35,2,FALSE),FALSE)))</f>
        <v>0</v>
      </c>
      <c r="P575" s="301" t="str">
        <f>VLOOKUP(H575,'3-Productie normen'!A:L,12,FALSE)</f>
        <v>L</v>
      </c>
      <c r="Q575" s="301"/>
      <c r="S575" s="302">
        <f t="shared" si="23"/>
        <v>5800</v>
      </c>
    </row>
    <row r="576" spans="1:19" ht="14.15" customHeight="1">
      <c r="A576" s="71">
        <v>576</v>
      </c>
      <c r="B576" s="67" t="s">
        <v>208</v>
      </c>
      <c r="C576" s="467" t="s">
        <v>618</v>
      </c>
      <c r="D576" s="467" t="s">
        <v>720</v>
      </c>
      <c r="E576" s="67" t="s">
        <v>714</v>
      </c>
      <c r="F576" s="67" t="s">
        <v>488</v>
      </c>
      <c r="G576" s="67" t="s">
        <v>518</v>
      </c>
      <c r="H576" s="67" t="s">
        <v>44</v>
      </c>
      <c r="I576" s="67" t="s">
        <v>70</v>
      </c>
      <c r="J576" s="67" t="s">
        <v>70</v>
      </c>
      <c r="K576" s="67">
        <v>20</v>
      </c>
      <c r="L576" s="299">
        <f t="shared" ref="L576" si="30">SUM(M576:M576)</f>
        <v>0</v>
      </c>
      <c r="M576" s="221" t="s">
        <v>629</v>
      </c>
      <c r="N576" s="220">
        <f>IF(OR(M576="nio",M576="eigen dienst"),0,IF(M576&gt;0,M576*K576/O576,0))*VLOOKUP(B576,'2-Kosten per locatie'!$A$14:$C$33,3,FALSE)</f>
        <v>0</v>
      </c>
      <c r="O576" s="300">
        <f>IF(OR(M576="nio",M576="eigen dienst"),0,IF(M576&gt;0,VLOOKUP(H576,'3-Productie normen'!A:J,VLOOKUP(M576,'3-Productie normen'!$B$34:$C$35,2,FALSE),FALSE)))</f>
        <v>0</v>
      </c>
      <c r="P576" s="301" t="str">
        <f>VLOOKUP(H576,'3-Productie normen'!A:L,12,FALSE)</f>
        <v>V</v>
      </c>
      <c r="Q576" s="301"/>
      <c r="S576" s="302">
        <f t="shared" si="23"/>
        <v>0</v>
      </c>
    </row>
    <row r="577" spans="1:19" ht="14.15" customHeight="1">
      <c r="A577" s="71">
        <v>577</v>
      </c>
      <c r="B577" s="67" t="s">
        <v>208</v>
      </c>
      <c r="C577" s="467" t="s">
        <v>618</v>
      </c>
      <c r="D577" s="467" t="s">
        <v>720</v>
      </c>
      <c r="E577" s="67" t="s">
        <v>714</v>
      </c>
      <c r="F577" s="67" t="s">
        <v>310</v>
      </c>
      <c r="G577" s="67" t="s">
        <v>512</v>
      </c>
      <c r="H577" s="67" t="s">
        <v>39</v>
      </c>
      <c r="I577" s="67" t="s">
        <v>70</v>
      </c>
      <c r="J577" s="67" t="s">
        <v>70</v>
      </c>
      <c r="K577" s="67">
        <v>21</v>
      </c>
      <c r="L577" s="299">
        <f t="shared" si="22"/>
        <v>200</v>
      </c>
      <c r="M577" s="221">
        <v>200</v>
      </c>
      <c r="N577" s="220" t="e">
        <f>IF(OR(M577="nio",M577="eigen dienst"),0,IF(M577&gt;0,M577*K577/O577,0))*VLOOKUP(B577,'2-Kosten per locatie'!$A$14:$C$33,3,FALSE)</f>
        <v>#DIV/0!</v>
      </c>
      <c r="O577" s="300">
        <f>IF(OR(M577="nio",M577="eigen dienst"),0,IF(M577&gt;0,VLOOKUP(H577,'3-Productie normen'!A:J,VLOOKUP(M577,'3-Productie normen'!$B$34:$C$35,2,FALSE),FALSE)))</f>
        <v>0</v>
      </c>
      <c r="P577" s="301" t="str">
        <f>VLOOKUP(H577,'3-Productie normen'!A:L,12,FALSE)</f>
        <v>V</v>
      </c>
      <c r="Q577" s="301"/>
      <c r="S577" s="302">
        <f t="shared" si="23"/>
        <v>4200</v>
      </c>
    </row>
    <row r="578" spans="1:19" ht="14.15" customHeight="1">
      <c r="A578" s="71">
        <v>578</v>
      </c>
      <c r="B578" s="67" t="s">
        <v>208</v>
      </c>
      <c r="C578" s="467" t="s">
        <v>618</v>
      </c>
      <c r="D578" s="467" t="s">
        <v>720</v>
      </c>
      <c r="E578" s="67" t="s">
        <v>714</v>
      </c>
      <c r="F578" s="67" t="s">
        <v>489</v>
      </c>
      <c r="G578" s="67" t="s">
        <v>512</v>
      </c>
      <c r="H578" s="67" t="s">
        <v>39</v>
      </c>
      <c r="I578" s="67" t="s">
        <v>70</v>
      </c>
      <c r="J578" s="67" t="s">
        <v>70</v>
      </c>
      <c r="K578" s="67">
        <v>16.399999999999999</v>
      </c>
      <c r="L578" s="299">
        <f t="shared" si="22"/>
        <v>200</v>
      </c>
      <c r="M578" s="221">
        <v>200</v>
      </c>
      <c r="N578" s="220" t="e">
        <f>IF(OR(M578="nio",M578="eigen dienst"),0,IF(M578&gt;0,M578*K578/O578,0))*VLOOKUP(B578,'2-Kosten per locatie'!$A$14:$C$33,3,FALSE)</f>
        <v>#DIV/0!</v>
      </c>
      <c r="O578" s="300">
        <f>IF(OR(M578="nio",M578="eigen dienst"),0,IF(M578&gt;0,VLOOKUP(H578,'3-Productie normen'!A:J,VLOOKUP(M578,'3-Productie normen'!$B$34:$C$35,2,FALSE),FALSE)))</f>
        <v>0</v>
      </c>
      <c r="P578" s="301" t="str">
        <f>VLOOKUP(H578,'3-Productie normen'!A:L,12,FALSE)</f>
        <v>V</v>
      </c>
      <c r="Q578" s="301"/>
      <c r="S578" s="302">
        <f t="shared" si="23"/>
        <v>3279.9999999999995</v>
      </c>
    </row>
    <row r="579" spans="1:19" ht="14.15" customHeight="1">
      <c r="A579" s="71">
        <v>579</v>
      </c>
      <c r="B579" s="67" t="s">
        <v>208</v>
      </c>
      <c r="C579" s="467" t="s">
        <v>618</v>
      </c>
      <c r="D579" s="467" t="s">
        <v>720</v>
      </c>
      <c r="E579" s="67" t="s">
        <v>714</v>
      </c>
      <c r="F579" s="67" t="s">
        <v>490</v>
      </c>
      <c r="G579" s="67" t="s">
        <v>531</v>
      </c>
      <c r="H579" s="67" t="s">
        <v>630</v>
      </c>
      <c r="I579" s="67" t="s">
        <v>70</v>
      </c>
      <c r="J579" s="67" t="s">
        <v>70</v>
      </c>
      <c r="K579" s="67">
        <v>4</v>
      </c>
      <c r="L579" s="299">
        <f t="shared" ref="L579" si="31">SUM(M579:M579)</f>
        <v>0</v>
      </c>
      <c r="M579" s="221" t="s">
        <v>629</v>
      </c>
      <c r="N579" s="220">
        <f>IF(OR(M579="nio",M579="eigen dienst"),0,IF(M579&gt;0,M579*K579/O579,0))*VLOOKUP(B579,'2-Kosten per locatie'!$A$14:$C$33,3,FALSE)</f>
        <v>0</v>
      </c>
      <c r="O579" s="300">
        <f>IF(OR(M579="nio",M579="eigen dienst"),0,IF(M579&gt;0,VLOOKUP(H579,'3-Productie normen'!A:J,VLOOKUP(M579,'3-Productie normen'!$B$34:$C$35,2,FALSE),FALSE)))</f>
        <v>0</v>
      </c>
      <c r="P579" s="301">
        <f>VLOOKUP(H579,'3-Productie normen'!A:L,12,FALSE)</f>
        <v>0</v>
      </c>
      <c r="Q579" s="301"/>
      <c r="S579" s="302">
        <f t="shared" si="23"/>
        <v>0</v>
      </c>
    </row>
    <row r="580" spans="1:19" ht="14.15" customHeight="1">
      <c r="A580" s="71">
        <v>580</v>
      </c>
      <c r="B580" s="67" t="s">
        <v>208</v>
      </c>
      <c r="C580" s="467" t="s">
        <v>618</v>
      </c>
      <c r="D580" s="467" t="s">
        <v>720</v>
      </c>
      <c r="E580" s="67" t="s">
        <v>714</v>
      </c>
      <c r="F580" s="67" t="s">
        <v>312</v>
      </c>
      <c r="G580" s="67" t="s">
        <v>514</v>
      </c>
      <c r="H580" s="67" t="s">
        <v>37</v>
      </c>
      <c r="I580" s="67" t="s">
        <v>601</v>
      </c>
      <c r="J580" s="56" t="s">
        <v>179</v>
      </c>
      <c r="K580" s="67">
        <v>7.4</v>
      </c>
      <c r="L580" s="299">
        <f t="shared" si="22"/>
        <v>200</v>
      </c>
      <c r="M580" s="221">
        <v>200</v>
      </c>
      <c r="N580" s="220" t="e">
        <f>IF(OR(M580="nio",M580="eigen dienst"),0,IF(M580&gt;0,M580*K580/O580,0))*VLOOKUP(B580,'2-Kosten per locatie'!$A$14:$C$33,3,FALSE)</f>
        <v>#DIV/0!</v>
      </c>
      <c r="O580" s="300">
        <f>IF(OR(M580="nio",M580="eigen dienst"),0,IF(M580&gt;0,VLOOKUP(H580,'3-Productie normen'!A:J,VLOOKUP(M580,'3-Productie normen'!$B$34:$C$35,2,FALSE),FALSE)))</f>
        <v>0</v>
      </c>
      <c r="P580" s="301" t="str">
        <f>VLOOKUP(H580,'3-Productie normen'!A:L,12,FALSE)</f>
        <v>S</v>
      </c>
      <c r="Q580" s="301"/>
      <c r="S580" s="302">
        <f t="shared" si="23"/>
        <v>1480</v>
      </c>
    </row>
    <row r="581" spans="1:19" ht="14.15" customHeight="1">
      <c r="A581" s="71">
        <v>581</v>
      </c>
      <c r="B581" s="67" t="s">
        <v>208</v>
      </c>
      <c r="C581" s="467" t="s">
        <v>618</v>
      </c>
      <c r="D581" s="467" t="s">
        <v>720</v>
      </c>
      <c r="E581" s="67" t="s">
        <v>714</v>
      </c>
      <c r="F581" s="67" t="s">
        <v>313</v>
      </c>
      <c r="G581" s="67" t="s">
        <v>515</v>
      </c>
      <c r="H581" s="67" t="s">
        <v>609</v>
      </c>
      <c r="I581" s="67" t="s">
        <v>70</v>
      </c>
      <c r="J581" s="67" t="s">
        <v>70</v>
      </c>
      <c r="K581" s="67">
        <v>49</v>
      </c>
      <c r="L581" s="299">
        <f t="shared" si="22"/>
        <v>200</v>
      </c>
      <c r="M581" s="221">
        <v>200</v>
      </c>
      <c r="N581" s="220" t="e">
        <f>IF(OR(M581="nio",M581="eigen dienst"),0,IF(M581&gt;0,M581*K581/O581,0))*VLOOKUP(B581,'2-Kosten per locatie'!$A$14:$C$33,3,FALSE)</f>
        <v>#DIV/0!</v>
      </c>
      <c r="O581" s="300">
        <f>IF(OR(M581="nio",M581="eigen dienst"),0,IF(M581&gt;0,VLOOKUP(H581,'3-Productie normen'!A:J,VLOOKUP(M581,'3-Productie normen'!$B$34:$C$35,2,FALSE),FALSE)))</f>
        <v>0</v>
      </c>
      <c r="P581" s="301" t="str">
        <f>VLOOKUP(H581,'3-Productie normen'!A:L,12,FALSE)</f>
        <v>L</v>
      </c>
      <c r="Q581" s="301"/>
      <c r="S581" s="302">
        <f t="shared" si="23"/>
        <v>9800</v>
      </c>
    </row>
    <row r="582" spans="1:19" ht="14.15" customHeight="1">
      <c r="A582" s="71">
        <v>582</v>
      </c>
      <c r="B582" s="67" t="s">
        <v>208</v>
      </c>
      <c r="C582" s="467" t="s">
        <v>618</v>
      </c>
      <c r="D582" s="467" t="s">
        <v>720</v>
      </c>
      <c r="E582" s="67" t="s">
        <v>714</v>
      </c>
      <c r="F582" s="67" t="s">
        <v>314</v>
      </c>
      <c r="G582" s="67" t="s">
        <v>515</v>
      </c>
      <c r="H582" s="67" t="s">
        <v>609</v>
      </c>
      <c r="I582" s="67" t="s">
        <v>70</v>
      </c>
      <c r="J582" s="67" t="s">
        <v>70</v>
      </c>
      <c r="K582" s="67">
        <v>60</v>
      </c>
      <c r="L582" s="299">
        <f t="shared" si="22"/>
        <v>200</v>
      </c>
      <c r="M582" s="221">
        <v>200</v>
      </c>
      <c r="N582" s="220" t="e">
        <f>IF(OR(M582="nio",M582="eigen dienst"),0,IF(M582&gt;0,M582*K582/O582,0))*VLOOKUP(B582,'2-Kosten per locatie'!$A$14:$C$33,3,FALSE)</f>
        <v>#DIV/0!</v>
      </c>
      <c r="O582" s="300">
        <f>IF(OR(M582="nio",M582="eigen dienst"),0,IF(M582&gt;0,VLOOKUP(H582,'3-Productie normen'!A:J,VLOOKUP(M582,'3-Productie normen'!$B$34:$C$35,2,FALSE),FALSE)))</f>
        <v>0</v>
      </c>
      <c r="P582" s="301" t="str">
        <f>VLOOKUP(H582,'3-Productie normen'!A:L,12,FALSE)</f>
        <v>L</v>
      </c>
      <c r="Q582" s="301"/>
      <c r="S582" s="302">
        <f t="shared" si="23"/>
        <v>12000</v>
      </c>
    </row>
    <row r="583" spans="1:19" ht="14.15" customHeight="1">
      <c r="A583" s="71">
        <v>583</v>
      </c>
      <c r="B583" s="67" t="s">
        <v>208</v>
      </c>
      <c r="C583" s="467" t="s">
        <v>618</v>
      </c>
      <c r="D583" s="467" t="s">
        <v>720</v>
      </c>
      <c r="E583" s="67" t="s">
        <v>714</v>
      </c>
      <c r="F583" s="67" t="s">
        <v>315</v>
      </c>
      <c r="G583" s="67" t="s">
        <v>512</v>
      </c>
      <c r="H583" s="67" t="s">
        <v>39</v>
      </c>
      <c r="I583" s="67" t="s">
        <v>70</v>
      </c>
      <c r="J583" s="67" t="s">
        <v>70</v>
      </c>
      <c r="K583" s="67">
        <v>10.5</v>
      </c>
      <c r="L583" s="299">
        <f t="shared" si="22"/>
        <v>200</v>
      </c>
      <c r="M583" s="221">
        <v>200</v>
      </c>
      <c r="N583" s="220" t="e">
        <f>IF(OR(M583="nio",M583="eigen dienst"),0,IF(M583&gt;0,M583*K583/O583,0))*VLOOKUP(B583,'2-Kosten per locatie'!$A$14:$C$33,3,FALSE)</f>
        <v>#DIV/0!</v>
      </c>
      <c r="O583" s="300">
        <f>IF(OR(M583="nio",M583="eigen dienst"),0,IF(M583&gt;0,VLOOKUP(H583,'3-Productie normen'!A:J,VLOOKUP(M583,'3-Productie normen'!$B$34:$C$35,2,FALSE),FALSE)))</f>
        <v>0</v>
      </c>
      <c r="P583" s="301" t="str">
        <f>VLOOKUP(H583,'3-Productie normen'!A:L,12,FALSE)</f>
        <v>V</v>
      </c>
      <c r="Q583" s="301"/>
      <c r="S583" s="302">
        <f t="shared" si="23"/>
        <v>2100</v>
      </c>
    </row>
    <row r="584" spans="1:19" ht="14.15" customHeight="1">
      <c r="A584" s="71">
        <v>584</v>
      </c>
      <c r="B584" s="67" t="s">
        <v>208</v>
      </c>
      <c r="C584" s="467" t="s">
        <v>618</v>
      </c>
      <c r="D584" s="467" t="s">
        <v>720</v>
      </c>
      <c r="E584" s="67" t="s">
        <v>714</v>
      </c>
      <c r="F584" s="67" t="s">
        <v>316</v>
      </c>
      <c r="G584" s="67" t="s">
        <v>515</v>
      </c>
      <c r="H584" s="67" t="s">
        <v>609</v>
      </c>
      <c r="I584" s="67" t="s">
        <v>70</v>
      </c>
      <c r="J584" s="67" t="s">
        <v>70</v>
      </c>
      <c r="K584" s="67">
        <v>56.6</v>
      </c>
      <c r="L584" s="299">
        <f t="shared" si="22"/>
        <v>200</v>
      </c>
      <c r="M584" s="221">
        <v>200</v>
      </c>
      <c r="N584" s="220" t="e">
        <f>IF(OR(M584="nio",M584="eigen dienst"),0,IF(M584&gt;0,M584*K584/O584,0))*VLOOKUP(B584,'2-Kosten per locatie'!$A$14:$C$33,3,FALSE)</f>
        <v>#DIV/0!</v>
      </c>
      <c r="O584" s="300">
        <f>IF(OR(M584="nio",M584="eigen dienst"),0,IF(M584&gt;0,VLOOKUP(H584,'3-Productie normen'!A:J,VLOOKUP(M584,'3-Productie normen'!$B$34:$C$35,2,FALSE),FALSE)))</f>
        <v>0</v>
      </c>
      <c r="P584" s="301" t="str">
        <f>VLOOKUP(H584,'3-Productie normen'!A:L,12,FALSE)</f>
        <v>L</v>
      </c>
      <c r="Q584" s="301"/>
      <c r="S584" s="302">
        <f t="shared" si="23"/>
        <v>11320</v>
      </c>
    </row>
    <row r="585" spans="1:19" ht="14.15" customHeight="1">
      <c r="A585" s="71">
        <v>585</v>
      </c>
      <c r="B585" s="67" t="s">
        <v>208</v>
      </c>
      <c r="C585" s="467" t="s">
        <v>618</v>
      </c>
      <c r="D585" s="467" t="s">
        <v>720</v>
      </c>
      <c r="E585" s="67" t="s">
        <v>714</v>
      </c>
      <c r="F585" s="67" t="s">
        <v>317</v>
      </c>
      <c r="G585" s="67" t="s">
        <v>515</v>
      </c>
      <c r="H585" s="67" t="s">
        <v>609</v>
      </c>
      <c r="I585" s="67" t="s">
        <v>70</v>
      </c>
      <c r="J585" s="67" t="s">
        <v>70</v>
      </c>
      <c r="K585" s="67">
        <v>49</v>
      </c>
      <c r="L585" s="299">
        <f t="shared" si="22"/>
        <v>200</v>
      </c>
      <c r="M585" s="221">
        <v>200</v>
      </c>
      <c r="N585" s="220" t="e">
        <f>IF(OR(M585="nio",M585="eigen dienst"),0,IF(M585&gt;0,M585*K585/O585,0))*VLOOKUP(B585,'2-Kosten per locatie'!$A$14:$C$33,3,FALSE)</f>
        <v>#DIV/0!</v>
      </c>
      <c r="O585" s="300">
        <f>IF(OR(M585="nio",M585="eigen dienst"),0,IF(M585&gt;0,VLOOKUP(H585,'3-Productie normen'!A:J,VLOOKUP(M585,'3-Productie normen'!$B$34:$C$35,2,FALSE),FALSE)))</f>
        <v>0</v>
      </c>
      <c r="P585" s="301" t="str">
        <f>VLOOKUP(H585,'3-Productie normen'!A:L,12,FALSE)</f>
        <v>L</v>
      </c>
      <c r="Q585" s="301"/>
      <c r="S585" s="302">
        <f t="shared" si="23"/>
        <v>9800</v>
      </c>
    </row>
    <row r="586" spans="1:19" ht="14.15" customHeight="1">
      <c r="A586" s="71">
        <v>586</v>
      </c>
      <c r="B586" s="67" t="s">
        <v>208</v>
      </c>
      <c r="C586" s="467" t="s">
        <v>618</v>
      </c>
      <c r="D586" s="467" t="s">
        <v>720</v>
      </c>
      <c r="E586" s="67" t="s">
        <v>714</v>
      </c>
      <c r="F586" s="67" t="s">
        <v>444</v>
      </c>
      <c r="G586" s="67" t="s">
        <v>512</v>
      </c>
      <c r="H586" s="67" t="s">
        <v>39</v>
      </c>
      <c r="I586" s="67" t="s">
        <v>70</v>
      </c>
      <c r="J586" s="67" t="s">
        <v>70</v>
      </c>
      <c r="K586" s="67">
        <v>24.6</v>
      </c>
      <c r="L586" s="299">
        <f t="shared" si="22"/>
        <v>200</v>
      </c>
      <c r="M586" s="221">
        <v>200</v>
      </c>
      <c r="N586" s="220" t="e">
        <f>IF(OR(M586="nio",M586="eigen dienst"),0,IF(M586&gt;0,M586*K586/O586,0))*VLOOKUP(B586,'2-Kosten per locatie'!$A$14:$C$33,3,FALSE)</f>
        <v>#DIV/0!</v>
      </c>
      <c r="O586" s="300">
        <f>IF(OR(M586="nio",M586="eigen dienst"),0,IF(M586&gt;0,VLOOKUP(H586,'3-Productie normen'!A:J,VLOOKUP(M586,'3-Productie normen'!$B$34:$C$35,2,FALSE),FALSE)))</f>
        <v>0</v>
      </c>
      <c r="P586" s="301" t="str">
        <f>VLOOKUP(H586,'3-Productie normen'!A:L,12,FALSE)</f>
        <v>V</v>
      </c>
      <c r="Q586" s="301"/>
      <c r="S586" s="302">
        <f t="shared" si="23"/>
        <v>4920</v>
      </c>
    </row>
    <row r="587" spans="1:19" ht="14.15" customHeight="1">
      <c r="A587" s="71">
        <v>587</v>
      </c>
      <c r="B587" s="67" t="s">
        <v>208</v>
      </c>
      <c r="C587" s="467" t="s">
        <v>618</v>
      </c>
      <c r="D587" s="467" t="s">
        <v>720</v>
      </c>
      <c r="E587" s="67" t="s">
        <v>714</v>
      </c>
      <c r="F587" s="67" t="s">
        <v>318</v>
      </c>
      <c r="G587" s="67" t="s">
        <v>522</v>
      </c>
      <c r="H587" s="67" t="s">
        <v>44</v>
      </c>
      <c r="I587" s="67" t="s">
        <v>70</v>
      </c>
      <c r="J587" s="67" t="s">
        <v>70</v>
      </c>
      <c r="K587" s="67">
        <v>3</v>
      </c>
      <c r="L587" s="299">
        <f t="shared" ref="L587" si="32">SUM(M587:M587)</f>
        <v>0</v>
      </c>
      <c r="M587" s="221" t="s">
        <v>629</v>
      </c>
      <c r="N587" s="220">
        <f>IF(OR(M587="nio",M587="eigen dienst"),0,IF(M587&gt;0,M587*K587/O587,0))*VLOOKUP(B587,'2-Kosten per locatie'!$A$14:$C$33,3,FALSE)</f>
        <v>0</v>
      </c>
      <c r="O587" s="300">
        <f>IF(OR(M587="nio",M587="eigen dienst"),0,IF(M587&gt;0,VLOOKUP(H587,'3-Productie normen'!A:J,VLOOKUP(M587,'3-Productie normen'!$B$34:$C$35,2,FALSE),FALSE)))</f>
        <v>0</v>
      </c>
      <c r="P587" s="301" t="str">
        <f>VLOOKUP(H587,'3-Productie normen'!A:L,12,FALSE)</f>
        <v>V</v>
      </c>
      <c r="Q587" s="301"/>
      <c r="S587" s="302">
        <f t="shared" ref="S587:S645" si="33">L587*K587</f>
        <v>0</v>
      </c>
    </row>
    <row r="588" spans="1:19" ht="14.15" customHeight="1">
      <c r="A588" s="71">
        <v>588</v>
      </c>
      <c r="B588" s="67" t="s">
        <v>208</v>
      </c>
      <c r="C588" s="467" t="s">
        <v>618</v>
      </c>
      <c r="D588" s="467" t="s">
        <v>720</v>
      </c>
      <c r="E588" s="67" t="s">
        <v>714</v>
      </c>
      <c r="F588" s="67" t="s">
        <v>319</v>
      </c>
      <c r="G588" s="67" t="s">
        <v>512</v>
      </c>
      <c r="H588" s="67" t="s">
        <v>39</v>
      </c>
      <c r="I588" s="67" t="s">
        <v>70</v>
      </c>
      <c r="J588" s="67" t="s">
        <v>70</v>
      </c>
      <c r="K588" s="67">
        <v>11</v>
      </c>
      <c r="L588" s="299">
        <f t="shared" ref="L588:L645" si="34">SUM(M588:M588)</f>
        <v>200</v>
      </c>
      <c r="M588" s="221">
        <v>200</v>
      </c>
      <c r="N588" s="220" t="e">
        <f>IF(OR(M588="nio",M588="eigen dienst"),0,IF(M588&gt;0,M588*K588/O588,0))*VLOOKUP(B588,'2-Kosten per locatie'!$A$14:$C$33,3,FALSE)</f>
        <v>#DIV/0!</v>
      </c>
      <c r="O588" s="300">
        <f>IF(OR(M588="nio",M588="eigen dienst"),0,IF(M588&gt;0,VLOOKUP(H588,'3-Productie normen'!A:J,VLOOKUP(M588,'3-Productie normen'!$B$34:$C$35,2,FALSE),FALSE)))</f>
        <v>0</v>
      </c>
      <c r="P588" s="301" t="str">
        <f>VLOOKUP(H588,'3-Productie normen'!A:L,12,FALSE)</f>
        <v>V</v>
      </c>
      <c r="Q588" s="301"/>
      <c r="R588" s="80"/>
      <c r="S588" s="302">
        <f t="shared" si="33"/>
        <v>2200</v>
      </c>
    </row>
    <row r="589" spans="1:19" ht="14.15" customHeight="1">
      <c r="A589" s="71">
        <v>589</v>
      </c>
      <c r="B589" s="67" t="s">
        <v>208</v>
      </c>
      <c r="C589" s="467" t="s">
        <v>618</v>
      </c>
      <c r="D589" s="467" t="s">
        <v>720</v>
      </c>
      <c r="E589" s="67" t="s">
        <v>714</v>
      </c>
      <c r="F589" s="67" t="s">
        <v>491</v>
      </c>
      <c r="G589" s="67" t="s">
        <v>512</v>
      </c>
      <c r="H589" s="67" t="s">
        <v>39</v>
      </c>
      <c r="I589" s="67" t="s">
        <v>70</v>
      </c>
      <c r="J589" s="67" t="s">
        <v>70</v>
      </c>
      <c r="K589" s="67">
        <v>6.6</v>
      </c>
      <c r="L589" s="299">
        <f t="shared" si="34"/>
        <v>200</v>
      </c>
      <c r="M589" s="221">
        <v>200</v>
      </c>
      <c r="N589" s="220" t="e">
        <f>IF(OR(M589="nio",M589="eigen dienst"),0,IF(M589&gt;0,M589*K589/O589,0))*VLOOKUP(B589,'2-Kosten per locatie'!$A$14:$C$33,3,FALSE)</f>
        <v>#DIV/0!</v>
      </c>
      <c r="O589" s="300">
        <f>IF(OR(M589="nio",M589="eigen dienst"),0,IF(M589&gt;0,VLOOKUP(H589,'3-Productie normen'!A:J,VLOOKUP(M589,'3-Productie normen'!$B$34:$C$35,2,FALSE),FALSE)))</f>
        <v>0</v>
      </c>
      <c r="P589" s="301" t="str">
        <f>VLOOKUP(H589,'3-Productie normen'!A:L,12,FALSE)</f>
        <v>V</v>
      </c>
      <c r="Q589" s="301"/>
      <c r="R589" s="80"/>
      <c r="S589" s="302">
        <f t="shared" si="33"/>
        <v>1320</v>
      </c>
    </row>
    <row r="590" spans="1:19" ht="14.15" customHeight="1">
      <c r="A590" s="71">
        <v>590</v>
      </c>
      <c r="B590" s="67" t="s">
        <v>208</v>
      </c>
      <c r="C590" s="467" t="s">
        <v>618</v>
      </c>
      <c r="D590" s="467" t="s">
        <v>720</v>
      </c>
      <c r="E590" s="67" t="s">
        <v>714</v>
      </c>
      <c r="F590" s="67" t="s">
        <v>492</v>
      </c>
      <c r="G590" s="67" t="s">
        <v>514</v>
      </c>
      <c r="H590" s="67" t="s">
        <v>37</v>
      </c>
      <c r="I590" s="67" t="s">
        <v>601</v>
      </c>
      <c r="J590" s="67" t="s">
        <v>179</v>
      </c>
      <c r="K590" s="67">
        <v>6.3</v>
      </c>
      <c r="L590" s="299">
        <f t="shared" si="34"/>
        <v>200</v>
      </c>
      <c r="M590" s="221">
        <v>200</v>
      </c>
      <c r="N590" s="220" t="e">
        <f>IF(OR(M590="nio",M590="eigen dienst"),0,IF(M590&gt;0,M590*K590/O590,0))*VLOOKUP(B590,'2-Kosten per locatie'!$A$14:$C$33,3,FALSE)</f>
        <v>#DIV/0!</v>
      </c>
      <c r="O590" s="300">
        <f>IF(OR(M590="nio",M590="eigen dienst"),0,IF(M590&gt;0,VLOOKUP(H590,'3-Productie normen'!A:J,VLOOKUP(M590,'3-Productie normen'!$B$34:$C$35,2,FALSE),FALSE)))</f>
        <v>0</v>
      </c>
      <c r="P590" s="301" t="str">
        <f>VLOOKUP(H590,'3-Productie normen'!A:L,12,FALSE)</f>
        <v>S</v>
      </c>
      <c r="Q590" s="301"/>
      <c r="R590" s="80"/>
      <c r="S590" s="302">
        <f t="shared" si="33"/>
        <v>1260</v>
      </c>
    </row>
    <row r="591" spans="1:19" ht="14.15" customHeight="1">
      <c r="A591" s="71">
        <v>591</v>
      </c>
      <c r="B591" s="67" t="s">
        <v>208</v>
      </c>
      <c r="C591" s="467" t="s">
        <v>618</v>
      </c>
      <c r="D591" s="467" t="s">
        <v>720</v>
      </c>
      <c r="E591" s="67" t="s">
        <v>714</v>
      </c>
      <c r="F591" s="67" t="s">
        <v>445</v>
      </c>
      <c r="G591" s="67" t="s">
        <v>514</v>
      </c>
      <c r="H591" s="67" t="s">
        <v>37</v>
      </c>
      <c r="I591" s="67" t="s">
        <v>601</v>
      </c>
      <c r="J591" s="67" t="s">
        <v>179</v>
      </c>
      <c r="K591" s="67">
        <v>7.4</v>
      </c>
      <c r="L591" s="299">
        <f t="shared" si="34"/>
        <v>200</v>
      </c>
      <c r="M591" s="221">
        <v>200</v>
      </c>
      <c r="N591" s="220" t="e">
        <f>IF(OR(M591="nio",M591="eigen dienst"),0,IF(M591&gt;0,M591*K591/O591,0))*VLOOKUP(B591,'2-Kosten per locatie'!$A$14:$C$33,3,FALSE)</f>
        <v>#DIV/0!</v>
      </c>
      <c r="O591" s="300">
        <f>IF(OR(M591="nio",M591="eigen dienst"),0,IF(M591&gt;0,VLOOKUP(H591,'3-Productie normen'!A:J,VLOOKUP(M591,'3-Productie normen'!$B$34:$C$35,2,FALSE),FALSE)))</f>
        <v>0</v>
      </c>
      <c r="P591" s="301" t="str">
        <f>VLOOKUP(H591,'3-Productie normen'!A:L,12,FALSE)</f>
        <v>S</v>
      </c>
      <c r="Q591" s="301"/>
      <c r="S591" s="302">
        <f t="shared" si="33"/>
        <v>1480</v>
      </c>
    </row>
    <row r="592" spans="1:19" ht="14.15" customHeight="1">
      <c r="A592" s="71">
        <v>592</v>
      </c>
      <c r="B592" s="67" t="s">
        <v>208</v>
      </c>
      <c r="C592" s="467" t="s">
        <v>618</v>
      </c>
      <c r="D592" s="467" t="s">
        <v>720</v>
      </c>
      <c r="E592" s="67" t="s">
        <v>714</v>
      </c>
      <c r="F592" s="67" t="s">
        <v>446</v>
      </c>
      <c r="G592" s="67" t="s">
        <v>515</v>
      </c>
      <c r="H592" s="67" t="s">
        <v>609</v>
      </c>
      <c r="I592" s="67" t="s">
        <v>70</v>
      </c>
      <c r="J592" s="67" t="s">
        <v>70</v>
      </c>
      <c r="K592" s="67">
        <v>49</v>
      </c>
      <c r="L592" s="299">
        <f t="shared" si="34"/>
        <v>200</v>
      </c>
      <c r="M592" s="221">
        <v>200</v>
      </c>
      <c r="N592" s="220" t="e">
        <f>IF(OR(M592="nio",M592="eigen dienst"),0,IF(M592&gt;0,M592*K592/O592,0))*VLOOKUP(B592,'2-Kosten per locatie'!$A$14:$C$33,3,FALSE)</f>
        <v>#DIV/0!</v>
      </c>
      <c r="O592" s="300">
        <f>IF(OR(M592="nio",M592="eigen dienst"),0,IF(M592&gt;0,VLOOKUP(H592,'3-Productie normen'!A:J,VLOOKUP(M592,'3-Productie normen'!$B$34:$C$35,2,FALSE),FALSE)))</f>
        <v>0</v>
      </c>
      <c r="P592" s="301" t="str">
        <f>VLOOKUP(H592,'3-Productie normen'!A:L,12,FALSE)</f>
        <v>L</v>
      </c>
      <c r="Q592" s="301"/>
      <c r="S592" s="302">
        <f t="shared" si="33"/>
        <v>9800</v>
      </c>
    </row>
    <row r="593" spans="1:19" ht="14.15" customHeight="1">
      <c r="A593" s="71">
        <v>593</v>
      </c>
      <c r="B593" s="67" t="s">
        <v>208</v>
      </c>
      <c r="C593" s="467" t="s">
        <v>618</v>
      </c>
      <c r="D593" s="467" t="s">
        <v>720</v>
      </c>
      <c r="E593" s="67" t="s">
        <v>714</v>
      </c>
      <c r="F593" s="67" t="s">
        <v>482</v>
      </c>
      <c r="G593" s="67" t="s">
        <v>515</v>
      </c>
      <c r="H593" s="67" t="s">
        <v>609</v>
      </c>
      <c r="I593" s="67" t="s">
        <v>70</v>
      </c>
      <c r="J593" s="67" t="s">
        <v>70</v>
      </c>
      <c r="K593" s="67">
        <v>28.1</v>
      </c>
      <c r="L593" s="299">
        <f t="shared" si="34"/>
        <v>200</v>
      </c>
      <c r="M593" s="221">
        <v>200</v>
      </c>
      <c r="N593" s="220" t="e">
        <f>IF(OR(M593="nio",M593="eigen dienst"),0,IF(M593&gt;0,M593*K593/O593,0))*VLOOKUP(B593,'2-Kosten per locatie'!$A$14:$C$33,3,FALSE)</f>
        <v>#DIV/0!</v>
      </c>
      <c r="O593" s="300">
        <f>IF(OR(M593="nio",M593="eigen dienst"),0,IF(M593&gt;0,VLOOKUP(H593,'3-Productie normen'!A:J,VLOOKUP(M593,'3-Productie normen'!$B$34:$C$35,2,FALSE),FALSE)))</f>
        <v>0</v>
      </c>
      <c r="P593" s="301" t="str">
        <f>VLOOKUP(H593,'3-Productie normen'!A:L,12,FALSE)</f>
        <v>L</v>
      </c>
      <c r="Q593" s="301"/>
      <c r="S593" s="302">
        <f t="shared" si="33"/>
        <v>5620</v>
      </c>
    </row>
    <row r="594" spans="1:19" ht="14.15" customHeight="1">
      <c r="A594" s="71">
        <v>594</v>
      </c>
      <c r="B594" s="67" t="s">
        <v>208</v>
      </c>
      <c r="C594" s="467" t="s">
        <v>618</v>
      </c>
      <c r="D594" s="467" t="s">
        <v>720</v>
      </c>
      <c r="E594" s="67" t="s">
        <v>714</v>
      </c>
      <c r="F594" s="67" t="s">
        <v>483</v>
      </c>
      <c r="G594" s="67" t="s">
        <v>516</v>
      </c>
      <c r="H594" s="67" t="s">
        <v>35</v>
      </c>
      <c r="I594" s="67" t="s">
        <v>70</v>
      </c>
      <c r="J594" s="67" t="s">
        <v>70</v>
      </c>
      <c r="K594" s="67">
        <v>19.7</v>
      </c>
      <c r="L594" s="299">
        <f t="shared" si="34"/>
        <v>200</v>
      </c>
      <c r="M594" s="221">
        <v>200</v>
      </c>
      <c r="N594" s="220" t="e">
        <f>IF(OR(M594="nio",M594="eigen dienst"),0,IF(M594&gt;0,M594*K594/O594,0))*VLOOKUP(B594,'2-Kosten per locatie'!$A$14:$C$33,3,FALSE)</f>
        <v>#DIV/0!</v>
      </c>
      <c r="O594" s="300">
        <f>IF(OR(M594="nio",M594="eigen dienst"),0,IF(M594&gt;0,VLOOKUP(H594,'3-Productie normen'!A:J,VLOOKUP(M594,'3-Productie normen'!$B$34:$C$35,2,FALSE),FALSE)))</f>
        <v>0</v>
      </c>
      <c r="P594" s="301" t="str">
        <f>VLOOKUP(H594,'3-Productie normen'!A:L,12,FALSE)</f>
        <v>B</v>
      </c>
      <c r="Q594" s="301"/>
      <c r="S594" s="302">
        <f t="shared" si="33"/>
        <v>3940</v>
      </c>
    </row>
    <row r="595" spans="1:19" ht="14.15" customHeight="1">
      <c r="A595" s="71">
        <v>595</v>
      </c>
      <c r="B595" s="67" t="s">
        <v>208</v>
      </c>
      <c r="C595" s="467" t="s">
        <v>618</v>
      </c>
      <c r="D595" s="467" t="s">
        <v>720</v>
      </c>
      <c r="E595" s="67" t="s">
        <v>714</v>
      </c>
      <c r="F595" s="67" t="s">
        <v>448</v>
      </c>
      <c r="G595" s="67" t="s">
        <v>512</v>
      </c>
      <c r="H595" s="67" t="s">
        <v>39</v>
      </c>
      <c r="I595" s="67" t="s">
        <v>70</v>
      </c>
      <c r="J595" s="67" t="s">
        <v>70</v>
      </c>
      <c r="K595" s="67">
        <v>21</v>
      </c>
      <c r="L595" s="299">
        <f t="shared" si="34"/>
        <v>200</v>
      </c>
      <c r="M595" s="221">
        <v>200</v>
      </c>
      <c r="N595" s="220" t="e">
        <f>IF(OR(M595="nio",M595="eigen dienst"),0,IF(M595&gt;0,M595*K595/O595,0))*VLOOKUP(B595,'2-Kosten per locatie'!$A$14:$C$33,3,FALSE)</f>
        <v>#DIV/0!</v>
      </c>
      <c r="O595" s="300">
        <f>IF(OR(M595="nio",M595="eigen dienst"),0,IF(M595&gt;0,VLOOKUP(H595,'3-Productie normen'!A:J,VLOOKUP(M595,'3-Productie normen'!$B$34:$C$35,2,FALSE),FALSE)))</f>
        <v>0</v>
      </c>
      <c r="P595" s="301" t="str">
        <f>VLOOKUP(H595,'3-Productie normen'!A:L,12,FALSE)</f>
        <v>V</v>
      </c>
      <c r="Q595" s="301"/>
      <c r="S595" s="302">
        <f t="shared" si="33"/>
        <v>4200</v>
      </c>
    </row>
    <row r="596" spans="1:19" ht="14.15" customHeight="1">
      <c r="A596" s="71">
        <v>596</v>
      </c>
      <c r="B596" s="67" t="s">
        <v>208</v>
      </c>
      <c r="C596" s="467" t="s">
        <v>618</v>
      </c>
      <c r="D596" s="467" t="s">
        <v>720</v>
      </c>
      <c r="E596" s="67" t="s">
        <v>714</v>
      </c>
      <c r="F596" s="67" t="s">
        <v>449</v>
      </c>
      <c r="G596" s="67" t="s">
        <v>512</v>
      </c>
      <c r="H596" s="67" t="s">
        <v>39</v>
      </c>
      <c r="I596" s="67" t="s">
        <v>70</v>
      </c>
      <c r="J596" s="67" t="s">
        <v>70</v>
      </c>
      <c r="K596" s="67">
        <v>23.7</v>
      </c>
      <c r="L596" s="299">
        <f t="shared" si="34"/>
        <v>200</v>
      </c>
      <c r="M596" s="221">
        <v>200</v>
      </c>
      <c r="N596" s="220" t="e">
        <f>IF(OR(M596="nio",M596="eigen dienst"),0,IF(M596&gt;0,M596*K596/O596,0))*VLOOKUP(B596,'2-Kosten per locatie'!$A$14:$C$33,3,FALSE)</f>
        <v>#DIV/0!</v>
      </c>
      <c r="O596" s="300">
        <f>IF(OR(M596="nio",M596="eigen dienst"),0,IF(M596&gt;0,VLOOKUP(H596,'3-Productie normen'!A:J,VLOOKUP(M596,'3-Productie normen'!$B$34:$C$35,2,FALSE),FALSE)))</f>
        <v>0</v>
      </c>
      <c r="P596" s="301" t="str">
        <f>VLOOKUP(H596,'3-Productie normen'!A:L,12,FALSE)</f>
        <v>V</v>
      </c>
      <c r="Q596" s="301"/>
      <c r="S596" s="302">
        <f t="shared" si="33"/>
        <v>4740</v>
      </c>
    </row>
    <row r="597" spans="1:19" ht="14.15" customHeight="1">
      <c r="A597" s="71">
        <v>597</v>
      </c>
      <c r="B597" s="67" t="s">
        <v>208</v>
      </c>
      <c r="C597" s="467" t="s">
        <v>618</v>
      </c>
      <c r="D597" s="467" t="s">
        <v>720</v>
      </c>
      <c r="E597" s="67" t="s">
        <v>714</v>
      </c>
      <c r="F597" s="67" t="s">
        <v>484</v>
      </c>
      <c r="G597" s="67" t="s">
        <v>514</v>
      </c>
      <c r="H597" s="67" t="s">
        <v>37</v>
      </c>
      <c r="I597" s="67" t="s">
        <v>601</v>
      </c>
      <c r="J597" s="67" t="s">
        <v>179</v>
      </c>
      <c r="K597" s="67">
        <v>3.7</v>
      </c>
      <c r="L597" s="299">
        <f t="shared" si="34"/>
        <v>200</v>
      </c>
      <c r="M597" s="221">
        <v>200</v>
      </c>
      <c r="N597" s="220" t="e">
        <f>IF(OR(M597="nio",M597="eigen dienst"),0,IF(M597&gt;0,M597*K597/O597,0))*VLOOKUP(B597,'2-Kosten per locatie'!$A$14:$C$33,3,FALSE)</f>
        <v>#DIV/0!</v>
      </c>
      <c r="O597" s="300">
        <f>IF(OR(M597="nio",M597="eigen dienst"),0,IF(M597&gt;0,VLOOKUP(H597,'3-Productie normen'!A:J,VLOOKUP(M597,'3-Productie normen'!$B$34:$C$35,2,FALSE),FALSE)))</f>
        <v>0</v>
      </c>
      <c r="P597" s="301" t="str">
        <f>VLOOKUP(H597,'3-Productie normen'!A:L,12,FALSE)</f>
        <v>S</v>
      </c>
      <c r="Q597" s="301"/>
      <c r="S597" s="302">
        <f t="shared" si="33"/>
        <v>740</v>
      </c>
    </row>
    <row r="598" spans="1:19" ht="14.15" customHeight="1">
      <c r="A598" s="71">
        <v>598</v>
      </c>
      <c r="B598" s="67" t="s">
        <v>208</v>
      </c>
      <c r="C598" s="467" t="s">
        <v>618</v>
      </c>
      <c r="D598" s="467" t="s">
        <v>720</v>
      </c>
      <c r="E598" s="67" t="s">
        <v>714</v>
      </c>
      <c r="F598" s="67" t="s">
        <v>485</v>
      </c>
      <c r="G598" s="67" t="s">
        <v>573</v>
      </c>
      <c r="H598" s="67" t="s">
        <v>630</v>
      </c>
      <c r="I598" s="67" t="s">
        <v>607</v>
      </c>
      <c r="J598" s="67" t="s">
        <v>200</v>
      </c>
      <c r="K598" s="67">
        <v>1.7</v>
      </c>
      <c r="L598" s="299">
        <f t="shared" si="34"/>
        <v>0</v>
      </c>
      <c r="M598" s="221" t="s">
        <v>629</v>
      </c>
      <c r="N598" s="220">
        <f>IF(OR(M598="nio",M598="eigen dienst"),0,IF(M598&gt;0,M598*K598/O598,0))*VLOOKUP(B598,'2-Kosten per locatie'!$A$14:$C$33,3,FALSE)</f>
        <v>0</v>
      </c>
      <c r="O598" s="300">
        <f>IF(OR(M598="nio",M598="eigen dienst"),0,IF(M598&gt;0,VLOOKUP(H598,'3-Productie normen'!A:J,VLOOKUP(M598,'3-Productie normen'!$B$34:$C$35,2,FALSE),FALSE)))</f>
        <v>0</v>
      </c>
      <c r="P598" s="301">
        <f>VLOOKUP(H598,'3-Productie normen'!A:L,12,FALSE)</f>
        <v>0</v>
      </c>
      <c r="Q598" s="301"/>
      <c r="S598" s="302">
        <f t="shared" si="33"/>
        <v>0</v>
      </c>
    </row>
    <row r="599" spans="1:19" ht="14.15" customHeight="1">
      <c r="A599" s="71">
        <v>599</v>
      </c>
      <c r="B599" s="67" t="s">
        <v>208</v>
      </c>
      <c r="C599" s="467" t="s">
        <v>618</v>
      </c>
      <c r="D599" s="467" t="s">
        <v>720</v>
      </c>
      <c r="E599" s="67" t="s">
        <v>714</v>
      </c>
      <c r="F599" s="67" t="s">
        <v>486</v>
      </c>
      <c r="G599" s="67" t="s">
        <v>522</v>
      </c>
      <c r="H599" s="67" t="s">
        <v>44</v>
      </c>
      <c r="I599" s="67" t="s">
        <v>70</v>
      </c>
      <c r="J599" s="67" t="s">
        <v>70</v>
      </c>
      <c r="K599" s="67">
        <v>2</v>
      </c>
      <c r="L599" s="299">
        <f t="shared" si="34"/>
        <v>0</v>
      </c>
      <c r="M599" s="221" t="s">
        <v>629</v>
      </c>
      <c r="N599" s="220">
        <f>IF(OR(M599="nio",M599="eigen dienst"),0,IF(M599&gt;0,M599*K599/O599,0))*VLOOKUP(B599,'2-Kosten per locatie'!$A$14:$C$33,3,FALSE)</f>
        <v>0</v>
      </c>
      <c r="O599" s="300">
        <f>IF(OR(M599="nio",M599="eigen dienst"),0,IF(M599&gt;0,VLOOKUP(H599,'3-Productie normen'!A:J,VLOOKUP(M599,'3-Productie normen'!$B$34:$C$35,2,FALSE),FALSE)))</f>
        <v>0</v>
      </c>
      <c r="P599" s="301" t="str">
        <f>VLOOKUP(H599,'3-Productie normen'!A:L,12,FALSE)</f>
        <v>V</v>
      </c>
      <c r="Q599" s="301"/>
      <c r="S599" s="302">
        <f t="shared" si="33"/>
        <v>0</v>
      </c>
    </row>
    <row r="600" spans="1:19" ht="14.15" customHeight="1">
      <c r="A600" s="71">
        <v>600</v>
      </c>
      <c r="B600" s="67" t="s">
        <v>206</v>
      </c>
      <c r="C600" s="467" t="s">
        <v>617</v>
      </c>
      <c r="D600" s="467" t="s">
        <v>720</v>
      </c>
      <c r="E600" s="67" t="s">
        <v>713</v>
      </c>
      <c r="F600" s="67" t="s">
        <v>346</v>
      </c>
      <c r="G600" s="67" t="s">
        <v>47</v>
      </c>
      <c r="H600" s="67" t="s">
        <v>47</v>
      </c>
      <c r="I600" s="67" t="s">
        <v>597</v>
      </c>
      <c r="J600" s="67" t="s">
        <v>201</v>
      </c>
      <c r="K600" s="67">
        <v>13.2</v>
      </c>
      <c r="L600" s="299">
        <f t="shared" si="34"/>
        <v>0</v>
      </c>
      <c r="M600" s="221" t="s">
        <v>631</v>
      </c>
      <c r="N600" s="220">
        <f>IF(OR(M600="nio",M600="eigen dienst"),0,IF(M600&gt;0,M600*K600/O600,0))*VLOOKUP(B600,'2-Kosten per locatie'!$A$14:$C$33,3,FALSE)</f>
        <v>0</v>
      </c>
      <c r="O600" s="300">
        <f>IF(OR(M600="nio",M600="eigen dienst"),0,IF(M600&gt;0,VLOOKUP(H600,'3-Productie normen'!A:J,VLOOKUP(M600,'3-Productie normen'!$B$34:$C$35,2,FALSE),FALSE)))</f>
        <v>0</v>
      </c>
      <c r="P600" s="301" t="str">
        <f>VLOOKUP(H600,'3-Productie normen'!A:L,12,FALSE)</f>
        <v>V</v>
      </c>
      <c r="Q600" s="301"/>
      <c r="S600" s="302">
        <f t="shared" si="33"/>
        <v>0</v>
      </c>
    </row>
    <row r="601" spans="1:19" ht="14.15" customHeight="1">
      <c r="A601" s="71">
        <v>601</v>
      </c>
      <c r="B601" s="67" t="s">
        <v>206</v>
      </c>
      <c r="C601" s="467" t="s">
        <v>617</v>
      </c>
      <c r="D601" s="467" t="s">
        <v>720</v>
      </c>
      <c r="E601" s="67" t="s">
        <v>713</v>
      </c>
      <c r="F601" s="67" t="s">
        <v>347</v>
      </c>
      <c r="G601" s="67" t="s">
        <v>512</v>
      </c>
      <c r="H601" s="67" t="s">
        <v>39</v>
      </c>
      <c r="I601" s="67" t="s">
        <v>705</v>
      </c>
      <c r="J601" s="67" t="s">
        <v>200</v>
      </c>
      <c r="K601" s="67">
        <v>21.666666666666668</v>
      </c>
      <c r="L601" s="299">
        <f t="shared" si="34"/>
        <v>0</v>
      </c>
      <c r="M601" s="221" t="s">
        <v>631</v>
      </c>
      <c r="N601" s="220">
        <f>IF(OR(M601="nio",M601="eigen dienst"),0,IF(M601&gt;0,M601*K601/O601,0))*VLOOKUP(B601,'2-Kosten per locatie'!$A$14:$C$33,3,FALSE)</f>
        <v>0</v>
      </c>
      <c r="O601" s="300">
        <f>IF(OR(M601="nio",M601="eigen dienst"),0,IF(M601&gt;0,VLOOKUP(H601,'3-Productie normen'!A:J,VLOOKUP(M601,'3-Productie normen'!$B$34:$C$35,2,FALSE),FALSE)))</f>
        <v>0</v>
      </c>
      <c r="P601" s="301" t="str">
        <f>VLOOKUP(H601,'3-Productie normen'!A:L,12,FALSE)</f>
        <v>V</v>
      </c>
      <c r="Q601" s="301"/>
      <c r="S601" s="302">
        <f t="shared" si="33"/>
        <v>0</v>
      </c>
    </row>
    <row r="602" spans="1:19" ht="14.15" customHeight="1">
      <c r="A602" s="71">
        <v>602</v>
      </c>
      <c r="B602" s="67" t="s">
        <v>206</v>
      </c>
      <c r="C602" s="467" t="s">
        <v>617</v>
      </c>
      <c r="D602" s="467" t="s">
        <v>720</v>
      </c>
      <c r="E602" s="67" t="s">
        <v>713</v>
      </c>
      <c r="F602" s="67" t="s">
        <v>347</v>
      </c>
      <c r="G602" s="67" t="s">
        <v>512</v>
      </c>
      <c r="H602" s="67" t="s">
        <v>39</v>
      </c>
      <c r="I602" s="67" t="s">
        <v>705</v>
      </c>
      <c r="J602" s="67" t="s">
        <v>200</v>
      </c>
      <c r="K602" s="67">
        <v>77.900000000000006</v>
      </c>
      <c r="L602" s="299">
        <f t="shared" si="34"/>
        <v>0</v>
      </c>
      <c r="M602" s="221" t="s">
        <v>631</v>
      </c>
      <c r="N602" s="220">
        <f>IF(OR(M602="nio",M602="eigen dienst"),0,IF(M602&gt;0,M602*K602/O602,0))*VLOOKUP(B602,'2-Kosten per locatie'!$A$14:$C$33,3,FALSE)</f>
        <v>0</v>
      </c>
      <c r="O602" s="300">
        <f>IF(OR(M602="nio",M602="eigen dienst"),0,IF(M602&gt;0,VLOOKUP(H602,'3-Productie normen'!A:J,VLOOKUP(M602,'3-Productie normen'!$B$34:$C$35,2,FALSE),FALSE)))</f>
        <v>0</v>
      </c>
      <c r="P602" s="301" t="str">
        <f>VLOOKUP(H602,'3-Productie normen'!A:L,12,FALSE)</f>
        <v>V</v>
      </c>
      <c r="Q602" s="301"/>
      <c r="S602" s="302">
        <f t="shared" si="33"/>
        <v>0</v>
      </c>
    </row>
    <row r="603" spans="1:19" ht="14.15" customHeight="1">
      <c r="A603" s="71">
        <v>603</v>
      </c>
      <c r="B603" s="67" t="s">
        <v>206</v>
      </c>
      <c r="C603" s="467" t="s">
        <v>617</v>
      </c>
      <c r="D603" s="467" t="s">
        <v>720</v>
      </c>
      <c r="E603" s="67" t="s">
        <v>713</v>
      </c>
      <c r="F603" s="67" t="s">
        <v>348</v>
      </c>
      <c r="G603" s="67" t="s">
        <v>512</v>
      </c>
      <c r="H603" s="67" t="s">
        <v>39</v>
      </c>
      <c r="I603" s="67" t="s">
        <v>705</v>
      </c>
      <c r="J603" s="67" t="s">
        <v>200</v>
      </c>
      <c r="K603" s="67">
        <v>21.666666666666668</v>
      </c>
      <c r="L603" s="299">
        <f t="shared" si="34"/>
        <v>0</v>
      </c>
      <c r="M603" s="221" t="s">
        <v>631</v>
      </c>
      <c r="N603" s="220">
        <f>IF(OR(M603="nio",M603="eigen dienst"),0,IF(M603&gt;0,M603*K603/O603,0))*VLOOKUP(B603,'2-Kosten per locatie'!$A$14:$C$33,3,FALSE)</f>
        <v>0</v>
      </c>
      <c r="O603" s="300">
        <f>IF(OR(M603="nio",M603="eigen dienst"),0,IF(M603&gt;0,VLOOKUP(H603,'3-Productie normen'!A:J,VLOOKUP(M603,'3-Productie normen'!$B$34:$C$35,2,FALSE),FALSE)))</f>
        <v>0</v>
      </c>
      <c r="P603" s="301" t="str">
        <f>VLOOKUP(H603,'3-Productie normen'!A:L,12,FALSE)</f>
        <v>V</v>
      </c>
      <c r="Q603" s="301"/>
      <c r="S603" s="302">
        <f t="shared" si="33"/>
        <v>0</v>
      </c>
    </row>
    <row r="604" spans="1:19" ht="14.15" customHeight="1">
      <c r="A604" s="71">
        <v>604</v>
      </c>
      <c r="B604" s="67" t="s">
        <v>206</v>
      </c>
      <c r="C604" s="467" t="s">
        <v>617</v>
      </c>
      <c r="D604" s="467" t="s">
        <v>720</v>
      </c>
      <c r="E604" s="67" t="s">
        <v>713</v>
      </c>
      <c r="F604" s="67" t="s">
        <v>348</v>
      </c>
      <c r="G604" s="67" t="s">
        <v>512</v>
      </c>
      <c r="H604" s="67" t="s">
        <v>39</v>
      </c>
      <c r="I604" s="67" t="s">
        <v>705</v>
      </c>
      <c r="J604" s="67" t="s">
        <v>200</v>
      </c>
      <c r="K604" s="67">
        <v>114.5</v>
      </c>
      <c r="L604" s="299">
        <f t="shared" si="34"/>
        <v>0</v>
      </c>
      <c r="M604" s="221" t="s">
        <v>631</v>
      </c>
      <c r="N604" s="220">
        <f>IF(OR(M604="nio",M604="eigen dienst"),0,IF(M604&gt;0,M604*K604/O604,0))*VLOOKUP(B604,'2-Kosten per locatie'!$A$14:$C$33,3,FALSE)</f>
        <v>0</v>
      </c>
      <c r="O604" s="300">
        <f>IF(OR(M604="nio",M604="eigen dienst"),0,IF(M604&gt;0,VLOOKUP(H604,'3-Productie normen'!A:J,VLOOKUP(M604,'3-Productie normen'!$B$34:$C$35,2,FALSE),FALSE)))</f>
        <v>0</v>
      </c>
      <c r="P604" s="301" t="str">
        <f>VLOOKUP(H604,'3-Productie normen'!A:L,12,FALSE)</f>
        <v>V</v>
      </c>
      <c r="Q604" s="301"/>
      <c r="S604" s="302">
        <f t="shared" si="33"/>
        <v>0</v>
      </c>
    </row>
    <row r="605" spans="1:19" ht="14.15" customHeight="1">
      <c r="A605" s="71">
        <v>605</v>
      </c>
      <c r="B605" s="67" t="s">
        <v>206</v>
      </c>
      <c r="C605" s="467" t="s">
        <v>617</v>
      </c>
      <c r="D605" s="467" t="s">
        <v>720</v>
      </c>
      <c r="E605" s="67" t="s">
        <v>713</v>
      </c>
      <c r="F605" s="67" t="s">
        <v>349</v>
      </c>
      <c r="G605" s="67" t="s">
        <v>47</v>
      </c>
      <c r="H605" s="67" t="s">
        <v>47</v>
      </c>
      <c r="I605" s="67" t="s">
        <v>597</v>
      </c>
      <c r="J605" s="67" t="s">
        <v>201</v>
      </c>
      <c r="K605" s="67">
        <v>5.9</v>
      </c>
      <c r="L605" s="299">
        <f t="shared" si="34"/>
        <v>0</v>
      </c>
      <c r="M605" s="221" t="s">
        <v>631</v>
      </c>
      <c r="N605" s="220">
        <f>IF(OR(M605="nio",M605="eigen dienst"),0,IF(M605&gt;0,M605*K605/O605,0))*VLOOKUP(B605,'2-Kosten per locatie'!$A$14:$C$33,3,FALSE)</f>
        <v>0</v>
      </c>
      <c r="O605" s="300">
        <f>IF(OR(M605="nio",M605="eigen dienst"),0,IF(M605&gt;0,VLOOKUP(H605,'3-Productie normen'!A:J,VLOOKUP(M605,'3-Productie normen'!$B$34:$C$35,2,FALSE),FALSE)))</f>
        <v>0</v>
      </c>
      <c r="P605" s="301" t="str">
        <f>VLOOKUP(H605,'3-Productie normen'!A:L,12,FALSE)</f>
        <v>V</v>
      </c>
      <c r="Q605" s="301"/>
      <c r="S605" s="302">
        <f t="shared" si="33"/>
        <v>0</v>
      </c>
    </row>
    <row r="606" spans="1:19" ht="14.15" customHeight="1">
      <c r="A606" s="71">
        <v>606</v>
      </c>
      <c r="B606" s="67" t="s">
        <v>206</v>
      </c>
      <c r="C606" s="467" t="s">
        <v>617</v>
      </c>
      <c r="D606" s="467" t="s">
        <v>720</v>
      </c>
      <c r="E606" s="67" t="s">
        <v>713</v>
      </c>
      <c r="F606" s="67" t="s">
        <v>350</v>
      </c>
      <c r="G606" s="67" t="s">
        <v>47</v>
      </c>
      <c r="H606" s="67" t="s">
        <v>47</v>
      </c>
      <c r="I606" s="67" t="s">
        <v>597</v>
      </c>
      <c r="J606" s="67" t="s">
        <v>201</v>
      </c>
      <c r="K606" s="67">
        <v>5.0999999999999996</v>
      </c>
      <c r="L606" s="299">
        <f t="shared" si="34"/>
        <v>0</v>
      </c>
      <c r="M606" s="221" t="s">
        <v>631</v>
      </c>
      <c r="N606" s="220">
        <f>IF(OR(M606="nio",M606="eigen dienst"),0,IF(M606&gt;0,M606*K606/O606,0))*VLOOKUP(B606,'2-Kosten per locatie'!$A$14:$C$33,3,FALSE)</f>
        <v>0</v>
      </c>
      <c r="O606" s="300">
        <f>IF(OR(M606="nio",M606="eigen dienst"),0,IF(M606&gt;0,VLOOKUP(H606,'3-Productie normen'!A:J,VLOOKUP(M606,'3-Productie normen'!$B$34:$C$35,2,FALSE),FALSE)))</f>
        <v>0</v>
      </c>
      <c r="P606" s="301" t="str">
        <f>VLOOKUP(H606,'3-Productie normen'!A:L,12,FALSE)</f>
        <v>V</v>
      </c>
      <c r="Q606" s="301"/>
      <c r="S606" s="302">
        <f t="shared" si="33"/>
        <v>0</v>
      </c>
    </row>
    <row r="607" spans="1:19" ht="14.15" customHeight="1">
      <c r="A607" s="71">
        <v>607</v>
      </c>
      <c r="B607" s="67" t="s">
        <v>206</v>
      </c>
      <c r="C607" s="467" t="s">
        <v>617</v>
      </c>
      <c r="D607" s="467" t="s">
        <v>720</v>
      </c>
      <c r="E607" s="67" t="s">
        <v>713</v>
      </c>
      <c r="F607" s="67" t="s">
        <v>351</v>
      </c>
      <c r="G607" s="67" t="s">
        <v>538</v>
      </c>
      <c r="H607" s="67" t="s">
        <v>44</v>
      </c>
      <c r="I607" s="67" t="s">
        <v>604</v>
      </c>
      <c r="J607" s="67" t="s">
        <v>200</v>
      </c>
      <c r="K607" s="67"/>
      <c r="L607" s="299">
        <f t="shared" si="34"/>
        <v>0</v>
      </c>
      <c r="M607" s="221" t="s">
        <v>631</v>
      </c>
      <c r="N607" s="220">
        <f>IF(OR(M607="nio",M607="eigen dienst"),0,IF(M607&gt;0,M607*K607/O607,0))*VLOOKUP(B607,'2-Kosten per locatie'!$A$14:$C$33,3,FALSE)</f>
        <v>0</v>
      </c>
      <c r="O607" s="300">
        <f>IF(OR(M607="nio",M607="eigen dienst"),0,IF(M607&gt;0,VLOOKUP(H607,'3-Productie normen'!A:J,VLOOKUP(M607,'3-Productie normen'!$B$34:$C$35,2,FALSE),FALSE)))</f>
        <v>0</v>
      </c>
      <c r="P607" s="301" t="str">
        <f>VLOOKUP(H607,'3-Productie normen'!A:L,12,FALSE)</f>
        <v>V</v>
      </c>
      <c r="Q607" s="301"/>
      <c r="S607" s="302">
        <f t="shared" si="33"/>
        <v>0</v>
      </c>
    </row>
    <row r="608" spans="1:19" ht="14.15" customHeight="1">
      <c r="A608" s="71">
        <v>608</v>
      </c>
      <c r="B608" s="67" t="s">
        <v>206</v>
      </c>
      <c r="C608" s="467" t="s">
        <v>617</v>
      </c>
      <c r="D608" s="467" t="s">
        <v>720</v>
      </c>
      <c r="E608" s="67" t="s">
        <v>713</v>
      </c>
      <c r="F608" s="67" t="s">
        <v>352</v>
      </c>
      <c r="G608" s="67" t="s">
        <v>548</v>
      </c>
      <c r="H608" s="67" t="s">
        <v>35</v>
      </c>
      <c r="I608" s="67" t="s">
        <v>705</v>
      </c>
      <c r="J608" s="67" t="s">
        <v>200</v>
      </c>
      <c r="K608" s="67">
        <v>26.8</v>
      </c>
      <c r="L608" s="299">
        <f t="shared" si="34"/>
        <v>0</v>
      </c>
      <c r="M608" s="221" t="s">
        <v>631</v>
      </c>
      <c r="N608" s="220">
        <f>IF(OR(M608="nio",M608="eigen dienst"),0,IF(M608&gt;0,M608*K608/O608,0))*VLOOKUP(B608,'2-Kosten per locatie'!$A$14:$C$33,3,FALSE)</f>
        <v>0</v>
      </c>
      <c r="O608" s="300">
        <f>IF(OR(M608="nio",M608="eigen dienst"),0,IF(M608&gt;0,VLOOKUP(H608,'3-Productie normen'!A:J,VLOOKUP(M608,'3-Productie normen'!$B$34:$C$35,2,FALSE),FALSE)))</f>
        <v>0</v>
      </c>
      <c r="P608" s="301" t="str">
        <f>VLOOKUP(H608,'3-Productie normen'!A:L,12,FALSE)</f>
        <v>B</v>
      </c>
      <c r="Q608" s="301"/>
      <c r="S608" s="302">
        <f t="shared" si="33"/>
        <v>0</v>
      </c>
    </row>
    <row r="609" spans="1:19" ht="14.15" customHeight="1">
      <c r="A609" s="71">
        <v>609</v>
      </c>
      <c r="B609" s="67" t="s">
        <v>206</v>
      </c>
      <c r="C609" s="467" t="s">
        <v>617</v>
      </c>
      <c r="D609" s="467" t="s">
        <v>720</v>
      </c>
      <c r="E609" s="67" t="s">
        <v>713</v>
      </c>
      <c r="F609" s="67" t="s">
        <v>353</v>
      </c>
      <c r="G609" s="67" t="s">
        <v>549</v>
      </c>
      <c r="H609" s="67" t="s">
        <v>35</v>
      </c>
      <c r="I609" s="67" t="s">
        <v>705</v>
      </c>
      <c r="J609" s="67" t="s">
        <v>200</v>
      </c>
      <c r="K609" s="67">
        <v>4.0999999999999996</v>
      </c>
      <c r="L609" s="299">
        <f t="shared" si="34"/>
        <v>0</v>
      </c>
      <c r="M609" s="221" t="s">
        <v>631</v>
      </c>
      <c r="N609" s="220">
        <f>IF(OR(M609="nio",M609="eigen dienst"),0,IF(M609&gt;0,M609*K609/O609,0))*VLOOKUP(B609,'2-Kosten per locatie'!$A$14:$C$33,3,FALSE)</f>
        <v>0</v>
      </c>
      <c r="O609" s="300">
        <f>IF(OR(M609="nio",M609="eigen dienst"),0,IF(M609&gt;0,VLOOKUP(H609,'3-Productie normen'!A:J,VLOOKUP(M609,'3-Productie normen'!$B$34:$C$35,2,FALSE),FALSE)))</f>
        <v>0</v>
      </c>
      <c r="P609" s="301" t="str">
        <f>VLOOKUP(H609,'3-Productie normen'!A:L,12,FALSE)</f>
        <v>B</v>
      </c>
      <c r="Q609" s="301"/>
      <c r="S609" s="302">
        <f t="shared" si="33"/>
        <v>0</v>
      </c>
    </row>
    <row r="610" spans="1:19" ht="14.15" customHeight="1">
      <c r="A610" s="71">
        <v>610</v>
      </c>
      <c r="B610" s="67" t="s">
        <v>206</v>
      </c>
      <c r="C610" s="467" t="s">
        <v>617</v>
      </c>
      <c r="D610" s="467" t="s">
        <v>720</v>
      </c>
      <c r="E610" s="67" t="s">
        <v>713</v>
      </c>
      <c r="F610" s="67" t="s">
        <v>354</v>
      </c>
      <c r="G610" s="67" t="s">
        <v>516</v>
      </c>
      <c r="H610" s="67" t="s">
        <v>35</v>
      </c>
      <c r="I610" s="67" t="s">
        <v>705</v>
      </c>
      <c r="J610" s="67" t="s">
        <v>200</v>
      </c>
      <c r="K610" s="67">
        <v>22.9</v>
      </c>
      <c r="L610" s="299">
        <f t="shared" si="34"/>
        <v>0</v>
      </c>
      <c r="M610" s="221" t="s">
        <v>631</v>
      </c>
      <c r="N610" s="220">
        <f>IF(OR(M610="nio",M610="eigen dienst"),0,IF(M610&gt;0,M610*K610/O610,0))*VLOOKUP(B610,'2-Kosten per locatie'!$A$14:$C$33,3,FALSE)</f>
        <v>0</v>
      </c>
      <c r="O610" s="300">
        <f>IF(OR(M610="nio",M610="eigen dienst"),0,IF(M610&gt;0,VLOOKUP(H610,'3-Productie normen'!A:J,VLOOKUP(M610,'3-Productie normen'!$B$34:$C$35,2,FALSE),FALSE)))</f>
        <v>0</v>
      </c>
      <c r="P610" s="301" t="str">
        <f>VLOOKUP(H610,'3-Productie normen'!A:L,12,FALSE)</f>
        <v>B</v>
      </c>
      <c r="Q610" s="301"/>
      <c r="S610" s="302">
        <f t="shared" si="33"/>
        <v>0</v>
      </c>
    </row>
    <row r="611" spans="1:19" ht="14.15" customHeight="1">
      <c r="A611" s="71">
        <v>611</v>
      </c>
      <c r="B611" s="67" t="s">
        <v>206</v>
      </c>
      <c r="C611" s="467" t="s">
        <v>617</v>
      </c>
      <c r="D611" s="467" t="s">
        <v>720</v>
      </c>
      <c r="E611" s="67" t="s">
        <v>713</v>
      </c>
      <c r="F611" s="67" t="s">
        <v>355</v>
      </c>
      <c r="G611" s="67" t="s">
        <v>550</v>
      </c>
      <c r="H611" s="67" t="s">
        <v>46</v>
      </c>
      <c r="I611" s="67" t="s">
        <v>705</v>
      </c>
      <c r="J611" s="67" t="s">
        <v>200</v>
      </c>
      <c r="K611" s="67">
        <v>10.5</v>
      </c>
      <c r="L611" s="299">
        <f t="shared" si="34"/>
        <v>0</v>
      </c>
      <c r="M611" s="221" t="s">
        <v>631</v>
      </c>
      <c r="N611" s="220">
        <f>IF(OR(M611="nio",M611="eigen dienst"),0,IF(M611&gt;0,M611*K611/O611,0))*VLOOKUP(B611,'2-Kosten per locatie'!$A$14:$C$33,3,FALSE)</f>
        <v>0</v>
      </c>
      <c r="O611" s="300">
        <f>IF(OR(M611="nio",M611="eigen dienst"),0,IF(M611&gt;0,VLOOKUP(H611,'3-Productie normen'!A:J,VLOOKUP(M611,'3-Productie normen'!$B$34:$C$35,2,FALSE),FALSE)))</f>
        <v>0</v>
      </c>
      <c r="P611" s="301" t="str">
        <f>VLOOKUP(H611,'3-Productie normen'!A:L,12,FALSE)</f>
        <v>V</v>
      </c>
      <c r="Q611" s="301"/>
      <c r="S611" s="302">
        <f t="shared" si="33"/>
        <v>0</v>
      </c>
    </row>
    <row r="612" spans="1:19" ht="14.15" customHeight="1">
      <c r="A612" s="71">
        <v>612</v>
      </c>
      <c r="B612" s="67" t="s">
        <v>206</v>
      </c>
      <c r="C612" s="467" t="s">
        <v>617</v>
      </c>
      <c r="D612" s="467" t="s">
        <v>720</v>
      </c>
      <c r="E612" s="67" t="s">
        <v>713</v>
      </c>
      <c r="F612" s="67" t="s">
        <v>356</v>
      </c>
      <c r="G612" s="67" t="s">
        <v>515</v>
      </c>
      <c r="H612" s="67" t="s">
        <v>609</v>
      </c>
      <c r="I612" s="67" t="s">
        <v>705</v>
      </c>
      <c r="J612" s="67" t="s">
        <v>200</v>
      </c>
      <c r="K612" s="67">
        <v>53.2</v>
      </c>
      <c r="L612" s="299">
        <f t="shared" si="34"/>
        <v>0</v>
      </c>
      <c r="M612" s="221" t="s">
        <v>631</v>
      </c>
      <c r="N612" s="220">
        <f>IF(OR(M612="nio",M612="eigen dienst"),0,IF(M612&gt;0,M612*K612/O612,0))*VLOOKUP(B612,'2-Kosten per locatie'!$A$14:$C$33,3,FALSE)</f>
        <v>0</v>
      </c>
      <c r="O612" s="300">
        <f>IF(OR(M612="nio",M612="eigen dienst"),0,IF(M612&gt;0,VLOOKUP(H612,'3-Productie normen'!A:J,VLOOKUP(M612,'3-Productie normen'!$B$34:$C$35,2,FALSE),FALSE)))</f>
        <v>0</v>
      </c>
      <c r="P612" s="301" t="str">
        <f>VLOOKUP(H612,'3-Productie normen'!A:L,12,FALSE)</f>
        <v>L</v>
      </c>
      <c r="Q612" s="301"/>
      <c r="S612" s="302">
        <f t="shared" si="33"/>
        <v>0</v>
      </c>
    </row>
    <row r="613" spans="1:19" ht="14.15" customHeight="1">
      <c r="A613" s="71">
        <v>613</v>
      </c>
      <c r="B613" s="67" t="s">
        <v>206</v>
      </c>
      <c r="C613" s="467" t="s">
        <v>617</v>
      </c>
      <c r="D613" s="467" t="s">
        <v>720</v>
      </c>
      <c r="E613" s="67" t="s">
        <v>713</v>
      </c>
      <c r="F613" s="67" t="s">
        <v>357</v>
      </c>
      <c r="G613" s="67" t="s">
        <v>515</v>
      </c>
      <c r="H613" s="67" t="s">
        <v>609</v>
      </c>
      <c r="I613" s="67" t="s">
        <v>705</v>
      </c>
      <c r="J613" s="67" t="s">
        <v>200</v>
      </c>
      <c r="K613" s="67">
        <v>49.9</v>
      </c>
      <c r="L613" s="299">
        <f t="shared" si="34"/>
        <v>0</v>
      </c>
      <c r="M613" s="221" t="s">
        <v>631</v>
      </c>
      <c r="N613" s="220">
        <f>IF(OR(M613="nio",M613="eigen dienst"),0,IF(M613&gt;0,M613*K613/O613,0))*VLOOKUP(B613,'2-Kosten per locatie'!$A$14:$C$33,3,FALSE)</f>
        <v>0</v>
      </c>
      <c r="O613" s="300">
        <f>IF(OR(M613="nio",M613="eigen dienst"),0,IF(M613&gt;0,VLOOKUP(H613,'3-Productie normen'!A:J,VLOOKUP(M613,'3-Productie normen'!$B$34:$C$35,2,FALSE),FALSE)))</f>
        <v>0</v>
      </c>
      <c r="P613" s="301" t="str">
        <f>VLOOKUP(H613,'3-Productie normen'!A:L,12,FALSE)</f>
        <v>L</v>
      </c>
      <c r="Q613" s="301"/>
      <c r="S613" s="302">
        <f t="shared" si="33"/>
        <v>0</v>
      </c>
    </row>
    <row r="614" spans="1:19" ht="14.15" customHeight="1">
      <c r="A614" s="71">
        <v>614</v>
      </c>
      <c r="B614" s="67" t="s">
        <v>206</v>
      </c>
      <c r="C614" s="467" t="s">
        <v>617</v>
      </c>
      <c r="D614" s="467" t="s">
        <v>720</v>
      </c>
      <c r="E614" s="67" t="s">
        <v>713</v>
      </c>
      <c r="F614" s="67" t="s">
        <v>358</v>
      </c>
      <c r="G614" s="67" t="s">
        <v>515</v>
      </c>
      <c r="H614" s="67" t="s">
        <v>609</v>
      </c>
      <c r="I614" s="67" t="s">
        <v>705</v>
      </c>
      <c r="J614" s="67" t="s">
        <v>200</v>
      </c>
      <c r="K614" s="67">
        <v>49.3</v>
      </c>
      <c r="L614" s="299">
        <f t="shared" si="34"/>
        <v>0</v>
      </c>
      <c r="M614" s="221" t="s">
        <v>631</v>
      </c>
      <c r="N614" s="220">
        <f>IF(OR(M614="nio",M614="eigen dienst"),0,IF(M614&gt;0,M614*K614/O614,0))*VLOOKUP(B614,'2-Kosten per locatie'!$A$14:$C$33,3,FALSE)</f>
        <v>0</v>
      </c>
      <c r="O614" s="300">
        <f>IF(OR(M614="nio",M614="eigen dienst"),0,IF(M614&gt;0,VLOOKUP(H614,'3-Productie normen'!A:J,VLOOKUP(M614,'3-Productie normen'!$B$34:$C$35,2,FALSE),FALSE)))</f>
        <v>0</v>
      </c>
      <c r="P614" s="301" t="str">
        <f>VLOOKUP(H614,'3-Productie normen'!A:L,12,FALSE)</f>
        <v>L</v>
      </c>
      <c r="Q614" s="301"/>
      <c r="S614" s="302">
        <f t="shared" si="33"/>
        <v>0</v>
      </c>
    </row>
    <row r="615" spans="1:19" ht="14.15" customHeight="1">
      <c r="A615" s="71">
        <v>615</v>
      </c>
      <c r="B615" s="67" t="s">
        <v>206</v>
      </c>
      <c r="C615" s="467" t="s">
        <v>617</v>
      </c>
      <c r="D615" s="467" t="s">
        <v>720</v>
      </c>
      <c r="E615" s="67" t="s">
        <v>713</v>
      </c>
      <c r="F615" s="67" t="s">
        <v>359</v>
      </c>
      <c r="G615" s="67" t="s">
        <v>515</v>
      </c>
      <c r="H615" s="67" t="s">
        <v>609</v>
      </c>
      <c r="I615" s="67" t="s">
        <v>705</v>
      </c>
      <c r="J615" s="67" t="s">
        <v>200</v>
      </c>
      <c r="K615" s="67">
        <v>50.9</v>
      </c>
      <c r="L615" s="299">
        <f t="shared" si="34"/>
        <v>0</v>
      </c>
      <c r="M615" s="221" t="s">
        <v>631</v>
      </c>
      <c r="N615" s="220">
        <f>IF(OR(M615="nio",M615="eigen dienst"),0,IF(M615&gt;0,M615*K615/O615,0))*VLOOKUP(B615,'2-Kosten per locatie'!$A$14:$C$33,3,FALSE)</f>
        <v>0</v>
      </c>
      <c r="O615" s="300">
        <f>IF(OR(M615="nio",M615="eigen dienst"),0,IF(M615&gt;0,VLOOKUP(H615,'3-Productie normen'!A:J,VLOOKUP(M615,'3-Productie normen'!$B$34:$C$35,2,FALSE),FALSE)))</f>
        <v>0</v>
      </c>
      <c r="P615" s="301" t="str">
        <f>VLOOKUP(H615,'3-Productie normen'!A:L,12,FALSE)</f>
        <v>L</v>
      </c>
      <c r="Q615" s="301"/>
      <c r="S615" s="302">
        <f t="shared" si="33"/>
        <v>0</v>
      </c>
    </row>
    <row r="616" spans="1:19" ht="14.15" customHeight="1">
      <c r="A616" s="71">
        <v>616</v>
      </c>
      <c r="B616" s="67" t="s">
        <v>206</v>
      </c>
      <c r="C616" s="467" t="s">
        <v>617</v>
      </c>
      <c r="D616" s="467" t="s">
        <v>720</v>
      </c>
      <c r="E616" s="67" t="s">
        <v>713</v>
      </c>
      <c r="F616" s="67" t="s">
        <v>360</v>
      </c>
      <c r="G616" s="67" t="s">
        <v>515</v>
      </c>
      <c r="H616" s="67" t="s">
        <v>609</v>
      </c>
      <c r="I616" s="67" t="s">
        <v>705</v>
      </c>
      <c r="J616" s="67" t="s">
        <v>200</v>
      </c>
      <c r="K616" s="67">
        <v>51.8</v>
      </c>
      <c r="L616" s="299">
        <f t="shared" si="34"/>
        <v>0</v>
      </c>
      <c r="M616" s="221" t="s">
        <v>631</v>
      </c>
      <c r="N616" s="220">
        <f>IF(OR(M616="nio",M616="eigen dienst"),0,IF(M616&gt;0,M616*K616/O616,0))*VLOOKUP(B616,'2-Kosten per locatie'!$A$14:$C$33,3,FALSE)</f>
        <v>0</v>
      </c>
      <c r="O616" s="300">
        <f>IF(OR(M616="nio",M616="eigen dienst"),0,IF(M616&gt;0,VLOOKUP(H616,'3-Productie normen'!A:J,VLOOKUP(M616,'3-Productie normen'!$B$34:$C$35,2,FALSE),FALSE)))</f>
        <v>0</v>
      </c>
      <c r="P616" s="301" t="str">
        <f>VLOOKUP(H616,'3-Productie normen'!A:L,12,FALSE)</f>
        <v>L</v>
      </c>
      <c r="Q616" s="301"/>
      <c r="S616" s="302">
        <f t="shared" si="33"/>
        <v>0</v>
      </c>
    </row>
    <row r="617" spans="1:19" ht="14.15" customHeight="1">
      <c r="A617" s="71">
        <v>617</v>
      </c>
      <c r="B617" s="67" t="s">
        <v>206</v>
      </c>
      <c r="C617" s="467" t="s">
        <v>617</v>
      </c>
      <c r="D617" s="467" t="s">
        <v>720</v>
      </c>
      <c r="E617" s="67" t="s">
        <v>713</v>
      </c>
      <c r="F617" s="67" t="s">
        <v>361</v>
      </c>
      <c r="G617" s="67" t="s">
        <v>551</v>
      </c>
      <c r="H617" s="67" t="s">
        <v>609</v>
      </c>
      <c r="I617" s="67" t="s">
        <v>705</v>
      </c>
      <c r="J617" s="67" t="s">
        <v>200</v>
      </c>
      <c r="K617" s="67">
        <v>49.8</v>
      </c>
      <c r="L617" s="299">
        <f t="shared" si="34"/>
        <v>0</v>
      </c>
      <c r="M617" s="221" t="s">
        <v>631</v>
      </c>
      <c r="N617" s="220">
        <f>IF(OR(M617="nio",M617="eigen dienst"),0,IF(M617&gt;0,M617*K617/O617,0))*VLOOKUP(B617,'2-Kosten per locatie'!$A$14:$C$33,3,FALSE)</f>
        <v>0</v>
      </c>
      <c r="O617" s="300">
        <f>IF(OR(M617="nio",M617="eigen dienst"),0,IF(M617&gt;0,VLOOKUP(H617,'3-Productie normen'!A:J,VLOOKUP(M617,'3-Productie normen'!$B$34:$C$35,2,FALSE),FALSE)))</f>
        <v>0</v>
      </c>
      <c r="P617" s="301" t="str">
        <f>VLOOKUP(H617,'3-Productie normen'!A:L,12,FALSE)</f>
        <v>L</v>
      </c>
      <c r="Q617" s="301"/>
      <c r="S617" s="302">
        <f t="shared" si="33"/>
        <v>0</v>
      </c>
    </row>
    <row r="618" spans="1:19" ht="14.15" customHeight="1">
      <c r="A618" s="71">
        <v>618</v>
      </c>
      <c r="B618" s="67" t="s">
        <v>206</v>
      </c>
      <c r="C618" s="467" t="s">
        <v>617</v>
      </c>
      <c r="D618" s="467" t="s">
        <v>720</v>
      </c>
      <c r="E618" s="67" t="s">
        <v>713</v>
      </c>
      <c r="F618" s="67" t="s">
        <v>362</v>
      </c>
      <c r="G618" s="67" t="s">
        <v>518</v>
      </c>
      <c r="H618" s="67" t="s">
        <v>44</v>
      </c>
      <c r="I618" s="67" t="s">
        <v>705</v>
      </c>
      <c r="J618" s="67" t="s">
        <v>200</v>
      </c>
      <c r="K618" s="67"/>
      <c r="L618" s="299">
        <f t="shared" si="34"/>
        <v>0</v>
      </c>
      <c r="M618" s="221" t="s">
        <v>631</v>
      </c>
      <c r="N618" s="220">
        <f>IF(OR(M618="nio",M618="eigen dienst"),0,IF(M618&gt;0,M618*K618/O618,0))*VLOOKUP(B618,'2-Kosten per locatie'!$A$14:$C$33,3,FALSE)</f>
        <v>0</v>
      </c>
      <c r="O618" s="300">
        <f>IF(OR(M618="nio",M618="eigen dienst"),0,IF(M618&gt;0,VLOOKUP(H618,'3-Productie normen'!A:J,VLOOKUP(M618,'3-Productie normen'!$B$34:$C$35,2,FALSE),FALSE)))</f>
        <v>0</v>
      </c>
      <c r="P618" s="301" t="str">
        <f>VLOOKUP(H618,'3-Productie normen'!A:L,12,FALSE)</f>
        <v>V</v>
      </c>
      <c r="Q618" s="301"/>
      <c r="S618" s="302">
        <f t="shared" si="33"/>
        <v>0</v>
      </c>
    </row>
    <row r="619" spans="1:19" ht="14.15" customHeight="1">
      <c r="A619" s="71">
        <v>619</v>
      </c>
      <c r="B619" s="67" t="s">
        <v>206</v>
      </c>
      <c r="C619" s="467" t="s">
        <v>617</v>
      </c>
      <c r="D619" s="467" t="s">
        <v>720</v>
      </c>
      <c r="E619" s="67" t="s">
        <v>713</v>
      </c>
      <c r="F619" s="67" t="s">
        <v>363</v>
      </c>
      <c r="G619" s="67" t="s">
        <v>514</v>
      </c>
      <c r="H619" s="67" t="s">
        <v>37</v>
      </c>
      <c r="I619" s="67" t="s">
        <v>601</v>
      </c>
      <c r="J619" s="67" t="s">
        <v>179</v>
      </c>
      <c r="K619" s="67">
        <v>5.6</v>
      </c>
      <c r="L619" s="299">
        <f t="shared" si="34"/>
        <v>0</v>
      </c>
      <c r="M619" s="221" t="s">
        <v>631</v>
      </c>
      <c r="N619" s="220">
        <f>IF(OR(M619="nio",M619="eigen dienst"),0,IF(M619&gt;0,M619*K619/O619,0))*VLOOKUP(B619,'2-Kosten per locatie'!$A$14:$C$33,3,FALSE)</f>
        <v>0</v>
      </c>
      <c r="O619" s="300">
        <f>IF(OR(M619="nio",M619="eigen dienst"),0,IF(M619&gt;0,VLOOKUP(H619,'3-Productie normen'!A:J,VLOOKUP(M619,'3-Productie normen'!$B$34:$C$35,2,FALSE),FALSE)))</f>
        <v>0</v>
      </c>
      <c r="P619" s="301" t="str">
        <f>VLOOKUP(H619,'3-Productie normen'!A:L,12,FALSE)</f>
        <v>S</v>
      </c>
      <c r="Q619" s="301"/>
      <c r="S619" s="302">
        <f t="shared" si="33"/>
        <v>0</v>
      </c>
    </row>
    <row r="620" spans="1:19" ht="14.15" customHeight="1">
      <c r="A620" s="71">
        <v>620</v>
      </c>
      <c r="B620" s="67" t="s">
        <v>206</v>
      </c>
      <c r="C620" s="467" t="s">
        <v>617</v>
      </c>
      <c r="D620" s="467" t="s">
        <v>720</v>
      </c>
      <c r="E620" s="67" t="s">
        <v>713</v>
      </c>
      <c r="F620" s="67" t="s">
        <v>364</v>
      </c>
      <c r="G620" s="67" t="s">
        <v>514</v>
      </c>
      <c r="H620" s="67" t="s">
        <v>37</v>
      </c>
      <c r="I620" s="67" t="s">
        <v>601</v>
      </c>
      <c r="J620" s="67" t="s">
        <v>179</v>
      </c>
      <c r="K620" s="67">
        <v>5</v>
      </c>
      <c r="L620" s="299">
        <f t="shared" si="34"/>
        <v>0</v>
      </c>
      <c r="M620" s="221" t="s">
        <v>631</v>
      </c>
      <c r="N620" s="220">
        <f>IF(OR(M620="nio",M620="eigen dienst"),0,IF(M620&gt;0,M620*K620/O620,0))*VLOOKUP(B620,'2-Kosten per locatie'!$A$14:$C$33,3,FALSE)</f>
        <v>0</v>
      </c>
      <c r="O620" s="300">
        <f>IF(OR(M620="nio",M620="eigen dienst"),0,IF(M620&gt;0,VLOOKUP(H620,'3-Productie normen'!A:J,VLOOKUP(M620,'3-Productie normen'!$B$34:$C$35,2,FALSE),FALSE)))</f>
        <v>0</v>
      </c>
      <c r="P620" s="301" t="str">
        <f>VLOOKUP(H620,'3-Productie normen'!A:L,12,FALSE)</f>
        <v>S</v>
      </c>
      <c r="Q620" s="301"/>
      <c r="S620" s="302">
        <f t="shared" si="33"/>
        <v>0</v>
      </c>
    </row>
    <row r="621" spans="1:19" ht="14.15" customHeight="1">
      <c r="A621" s="71">
        <v>621</v>
      </c>
      <c r="B621" s="67" t="s">
        <v>206</v>
      </c>
      <c r="C621" s="467" t="s">
        <v>617</v>
      </c>
      <c r="D621" s="467" t="s">
        <v>720</v>
      </c>
      <c r="E621" s="67" t="s">
        <v>713</v>
      </c>
      <c r="F621" s="67" t="s">
        <v>365</v>
      </c>
      <c r="G621" s="67" t="s">
        <v>518</v>
      </c>
      <c r="H621" s="67" t="s">
        <v>44</v>
      </c>
      <c r="I621" s="67" t="s">
        <v>705</v>
      </c>
      <c r="J621" s="67" t="s">
        <v>200</v>
      </c>
      <c r="K621" s="67"/>
      <c r="L621" s="299">
        <f t="shared" si="34"/>
        <v>0</v>
      </c>
      <c r="M621" s="221" t="s">
        <v>631</v>
      </c>
      <c r="N621" s="220">
        <f>IF(OR(M621="nio",M621="eigen dienst"),0,IF(M621&gt;0,M621*K621/O621,0))*VLOOKUP(B621,'2-Kosten per locatie'!$A$14:$C$33,3,FALSE)</f>
        <v>0</v>
      </c>
      <c r="O621" s="300">
        <f>IF(OR(M621="nio",M621="eigen dienst"),0,IF(M621&gt;0,VLOOKUP(H621,'3-Productie normen'!A:J,VLOOKUP(M621,'3-Productie normen'!$B$34:$C$35,2,FALSE),FALSE)))</f>
        <v>0</v>
      </c>
      <c r="P621" s="301" t="str">
        <f>VLOOKUP(H621,'3-Productie normen'!A:L,12,FALSE)</f>
        <v>V</v>
      </c>
      <c r="Q621" s="301"/>
      <c r="S621" s="302">
        <f t="shared" si="33"/>
        <v>0</v>
      </c>
    </row>
    <row r="622" spans="1:19" ht="14.15" customHeight="1">
      <c r="A622" s="71">
        <v>622</v>
      </c>
      <c r="B622" s="67" t="s">
        <v>206</v>
      </c>
      <c r="C622" s="467" t="s">
        <v>617</v>
      </c>
      <c r="D622" s="467" t="s">
        <v>720</v>
      </c>
      <c r="E622" s="67" t="s">
        <v>713</v>
      </c>
      <c r="F622" s="67" t="s">
        <v>366</v>
      </c>
      <c r="G622" s="67" t="s">
        <v>540</v>
      </c>
      <c r="H622" s="67" t="s">
        <v>35</v>
      </c>
      <c r="I622" s="67" t="s">
        <v>705</v>
      </c>
      <c r="J622" s="67" t="s">
        <v>200</v>
      </c>
      <c r="K622" s="67">
        <v>8.9</v>
      </c>
      <c r="L622" s="299">
        <f t="shared" si="34"/>
        <v>0</v>
      </c>
      <c r="M622" s="221" t="s">
        <v>631</v>
      </c>
      <c r="N622" s="220">
        <f>IF(OR(M622="nio",M622="eigen dienst"),0,IF(M622&gt;0,M622*K622/O622,0))*VLOOKUP(B622,'2-Kosten per locatie'!$A$14:$C$33,3,FALSE)</f>
        <v>0</v>
      </c>
      <c r="O622" s="300">
        <f>IF(OR(M622="nio",M622="eigen dienst"),0,IF(M622&gt;0,VLOOKUP(H622,'3-Productie normen'!A:J,VLOOKUP(M622,'3-Productie normen'!$B$34:$C$35,2,FALSE),FALSE)))</f>
        <v>0</v>
      </c>
      <c r="P622" s="301" t="str">
        <f>VLOOKUP(H622,'3-Productie normen'!A:L,12,FALSE)</f>
        <v>B</v>
      </c>
      <c r="Q622" s="301"/>
      <c r="S622" s="302">
        <f t="shared" si="33"/>
        <v>0</v>
      </c>
    </row>
    <row r="623" spans="1:19" ht="14.15" customHeight="1">
      <c r="A623" s="71">
        <v>623</v>
      </c>
      <c r="B623" s="67" t="s">
        <v>206</v>
      </c>
      <c r="C623" s="467" t="s">
        <v>617</v>
      </c>
      <c r="D623" s="467" t="s">
        <v>720</v>
      </c>
      <c r="E623" s="67" t="s">
        <v>713</v>
      </c>
      <c r="F623" s="67" t="s">
        <v>367</v>
      </c>
      <c r="G623" s="67" t="s">
        <v>552</v>
      </c>
      <c r="H623" s="67" t="s">
        <v>46</v>
      </c>
      <c r="I623" s="67" t="s">
        <v>705</v>
      </c>
      <c r="J623" s="67" t="s">
        <v>200</v>
      </c>
      <c r="K623" s="67">
        <v>8.6999999999999993</v>
      </c>
      <c r="L623" s="299">
        <f t="shared" si="34"/>
        <v>0</v>
      </c>
      <c r="M623" s="221" t="s">
        <v>631</v>
      </c>
      <c r="N623" s="220">
        <f>IF(OR(M623="nio",M623="eigen dienst"),0,IF(M623&gt;0,M623*K623/O623,0))*VLOOKUP(B623,'2-Kosten per locatie'!$A$14:$C$33,3,FALSE)</f>
        <v>0</v>
      </c>
      <c r="O623" s="300">
        <f>IF(OR(M623="nio",M623="eigen dienst"),0,IF(M623&gt;0,VLOOKUP(H623,'3-Productie normen'!A:J,VLOOKUP(M623,'3-Productie normen'!$B$34:$C$35,2,FALSE),FALSE)))</f>
        <v>0</v>
      </c>
      <c r="P623" s="301" t="str">
        <f>VLOOKUP(H623,'3-Productie normen'!A:L,12,FALSE)</f>
        <v>V</v>
      </c>
      <c r="Q623" s="301"/>
      <c r="S623" s="302">
        <f t="shared" si="33"/>
        <v>0</v>
      </c>
    </row>
    <row r="624" spans="1:19" ht="14.15" customHeight="1">
      <c r="A624" s="71">
        <v>624</v>
      </c>
      <c r="B624" s="67" t="s">
        <v>206</v>
      </c>
      <c r="C624" s="467" t="s">
        <v>617</v>
      </c>
      <c r="D624" s="467" t="s">
        <v>720</v>
      </c>
      <c r="E624" s="67" t="s">
        <v>713</v>
      </c>
      <c r="F624" s="67" t="s">
        <v>368</v>
      </c>
      <c r="G624" s="67" t="s">
        <v>512</v>
      </c>
      <c r="H624" s="67" t="s">
        <v>39</v>
      </c>
      <c r="I624" s="67" t="s">
        <v>705</v>
      </c>
      <c r="J624" s="67" t="s">
        <v>200</v>
      </c>
      <c r="K624" s="67">
        <v>21.666666666666668</v>
      </c>
      <c r="L624" s="299">
        <f t="shared" si="34"/>
        <v>0</v>
      </c>
      <c r="M624" s="221" t="s">
        <v>631</v>
      </c>
      <c r="N624" s="220">
        <f>IF(OR(M624="nio",M624="eigen dienst"),0,IF(M624&gt;0,M624*K624/O624,0))*VLOOKUP(B624,'2-Kosten per locatie'!$A$14:$C$33,3,FALSE)</f>
        <v>0</v>
      </c>
      <c r="O624" s="300">
        <f>IF(OR(M624="nio",M624="eigen dienst"),0,IF(M624&gt;0,VLOOKUP(H624,'3-Productie normen'!A:J,VLOOKUP(M624,'3-Productie normen'!$B$34:$C$35,2,FALSE),FALSE)))</f>
        <v>0</v>
      </c>
      <c r="P624" s="301" t="str">
        <f>VLOOKUP(H624,'3-Productie normen'!A:L,12,FALSE)</f>
        <v>V</v>
      </c>
      <c r="Q624" s="301"/>
      <c r="S624" s="302">
        <f t="shared" si="33"/>
        <v>0</v>
      </c>
    </row>
    <row r="625" spans="1:19" ht="14.15" customHeight="1">
      <c r="A625" s="71">
        <v>625</v>
      </c>
      <c r="B625" s="67" t="s">
        <v>206</v>
      </c>
      <c r="C625" s="467" t="s">
        <v>617</v>
      </c>
      <c r="D625" s="467" t="s">
        <v>720</v>
      </c>
      <c r="E625" s="67" t="s">
        <v>713</v>
      </c>
      <c r="F625" s="67" t="s">
        <v>368</v>
      </c>
      <c r="G625" s="67" t="s">
        <v>512</v>
      </c>
      <c r="H625" s="67" t="s">
        <v>39</v>
      </c>
      <c r="I625" s="67" t="s">
        <v>705</v>
      </c>
      <c r="J625" s="67" t="s">
        <v>200</v>
      </c>
      <c r="K625" s="67">
        <v>58.8</v>
      </c>
      <c r="L625" s="299">
        <f t="shared" si="34"/>
        <v>0</v>
      </c>
      <c r="M625" s="221" t="s">
        <v>631</v>
      </c>
      <c r="N625" s="220">
        <f>IF(OR(M625="nio",M625="eigen dienst"),0,IF(M625&gt;0,M625*K625/O625,0))*VLOOKUP(B625,'2-Kosten per locatie'!$A$14:$C$33,3,FALSE)</f>
        <v>0</v>
      </c>
      <c r="O625" s="300">
        <f>IF(OR(M625="nio",M625="eigen dienst"),0,IF(M625&gt;0,VLOOKUP(H625,'3-Productie normen'!A:J,VLOOKUP(M625,'3-Productie normen'!$B$34:$C$35,2,FALSE),FALSE)))</f>
        <v>0</v>
      </c>
      <c r="P625" s="301" t="str">
        <f>VLOOKUP(H625,'3-Productie normen'!A:L,12,FALSE)</f>
        <v>V</v>
      </c>
      <c r="Q625" s="301"/>
      <c r="S625" s="302">
        <f t="shared" si="33"/>
        <v>0</v>
      </c>
    </row>
    <row r="626" spans="1:19" ht="14.15" customHeight="1">
      <c r="A626" s="71">
        <v>626</v>
      </c>
      <c r="B626" s="67" t="s">
        <v>206</v>
      </c>
      <c r="C626" s="467" t="s">
        <v>617</v>
      </c>
      <c r="D626" s="467" t="s">
        <v>720</v>
      </c>
      <c r="E626" s="67" t="s">
        <v>713</v>
      </c>
      <c r="F626" s="67" t="s">
        <v>369</v>
      </c>
      <c r="G626" s="67" t="s">
        <v>553</v>
      </c>
      <c r="H626" s="67" t="s">
        <v>35</v>
      </c>
      <c r="I626" s="67" t="s">
        <v>705</v>
      </c>
      <c r="J626" s="67" t="s">
        <v>200</v>
      </c>
      <c r="K626" s="67">
        <v>6.9</v>
      </c>
      <c r="L626" s="299">
        <f t="shared" si="34"/>
        <v>0</v>
      </c>
      <c r="M626" s="221" t="s">
        <v>631</v>
      </c>
      <c r="N626" s="220">
        <f>IF(OR(M626="nio",M626="eigen dienst"),0,IF(M626&gt;0,M626*K626/O626,0))*VLOOKUP(B626,'2-Kosten per locatie'!$A$14:$C$33,3,FALSE)</f>
        <v>0</v>
      </c>
      <c r="O626" s="300">
        <f>IF(OR(M626="nio",M626="eigen dienst"),0,IF(M626&gt;0,VLOOKUP(H626,'3-Productie normen'!A:J,VLOOKUP(M626,'3-Productie normen'!$B$34:$C$35,2,FALSE),FALSE)))</f>
        <v>0</v>
      </c>
      <c r="P626" s="301" t="str">
        <f>VLOOKUP(H626,'3-Productie normen'!A:L,12,FALSE)</f>
        <v>B</v>
      </c>
      <c r="Q626" s="301"/>
      <c r="S626" s="302">
        <f t="shared" si="33"/>
        <v>0</v>
      </c>
    </row>
    <row r="627" spans="1:19" ht="14.15" customHeight="1">
      <c r="A627" s="71">
        <v>627</v>
      </c>
      <c r="B627" s="67" t="s">
        <v>206</v>
      </c>
      <c r="C627" s="467" t="s">
        <v>617</v>
      </c>
      <c r="D627" s="467" t="s">
        <v>720</v>
      </c>
      <c r="E627" s="67" t="s">
        <v>713</v>
      </c>
      <c r="F627" s="67" t="s">
        <v>370</v>
      </c>
      <c r="G627" s="67" t="s">
        <v>553</v>
      </c>
      <c r="H627" s="67" t="s">
        <v>35</v>
      </c>
      <c r="I627" s="67" t="s">
        <v>705</v>
      </c>
      <c r="J627" s="67" t="s">
        <v>200</v>
      </c>
      <c r="K627" s="67">
        <v>4.8</v>
      </c>
      <c r="L627" s="299">
        <f t="shared" si="34"/>
        <v>0</v>
      </c>
      <c r="M627" s="221" t="s">
        <v>631</v>
      </c>
      <c r="N627" s="220">
        <f>IF(OR(M627="nio",M627="eigen dienst"),0,IF(M627&gt;0,M627*K627/O627,0))*VLOOKUP(B627,'2-Kosten per locatie'!$A$14:$C$33,3,FALSE)</f>
        <v>0</v>
      </c>
      <c r="O627" s="300">
        <f>IF(OR(M627="nio",M627="eigen dienst"),0,IF(M627&gt;0,VLOOKUP(H627,'3-Productie normen'!A:J,VLOOKUP(M627,'3-Productie normen'!$B$34:$C$35,2,FALSE),FALSE)))</f>
        <v>0</v>
      </c>
      <c r="P627" s="301" t="str">
        <f>VLOOKUP(H627,'3-Productie normen'!A:L,12,FALSE)</f>
        <v>B</v>
      </c>
      <c r="Q627" s="301"/>
      <c r="S627" s="302">
        <f t="shared" si="33"/>
        <v>0</v>
      </c>
    </row>
    <row r="628" spans="1:19" ht="14.15" customHeight="1">
      <c r="A628" s="71">
        <v>628</v>
      </c>
      <c r="B628" s="67" t="s">
        <v>206</v>
      </c>
      <c r="C628" s="467" t="s">
        <v>617</v>
      </c>
      <c r="D628" s="467" t="s">
        <v>720</v>
      </c>
      <c r="E628" s="67" t="s">
        <v>713</v>
      </c>
      <c r="F628" s="67" t="s">
        <v>371</v>
      </c>
      <c r="G628" s="67" t="s">
        <v>49</v>
      </c>
      <c r="H628" s="67" t="s">
        <v>49</v>
      </c>
      <c r="I628" s="67" t="s">
        <v>705</v>
      </c>
      <c r="J628" s="67" t="s">
        <v>200</v>
      </c>
      <c r="K628" s="67">
        <v>2</v>
      </c>
      <c r="L628" s="299">
        <f t="shared" si="34"/>
        <v>0</v>
      </c>
      <c r="M628" s="221" t="s">
        <v>631</v>
      </c>
      <c r="N628" s="220">
        <f>IF(OR(M628="nio",M628="eigen dienst"),0,IF(M628&gt;0,M628*K628/O628,0))*VLOOKUP(B628,'2-Kosten per locatie'!$A$14:$C$33,3,FALSE)</f>
        <v>0</v>
      </c>
      <c r="O628" s="300">
        <f>IF(OR(M628="nio",M628="eigen dienst"),0,IF(M628&gt;0,VLOOKUP(H628,'3-Productie normen'!A:J,VLOOKUP(M628,'3-Productie normen'!$B$34:$C$35,2,FALSE),FALSE)))</f>
        <v>0</v>
      </c>
      <c r="P628" s="301" t="str">
        <f>VLOOKUP(H628,'3-Productie normen'!A:L,12,FALSE)</f>
        <v>V</v>
      </c>
      <c r="Q628" s="301"/>
      <c r="S628" s="302">
        <f t="shared" si="33"/>
        <v>0</v>
      </c>
    </row>
    <row r="629" spans="1:19" ht="14.15" customHeight="1">
      <c r="A629" s="71">
        <v>629</v>
      </c>
      <c r="B629" s="67" t="s">
        <v>206</v>
      </c>
      <c r="C629" s="467" t="s">
        <v>617</v>
      </c>
      <c r="D629" s="467" t="s">
        <v>720</v>
      </c>
      <c r="E629" s="67" t="s">
        <v>713</v>
      </c>
      <c r="F629" s="67" t="s">
        <v>372</v>
      </c>
      <c r="G629" s="67" t="s">
        <v>514</v>
      </c>
      <c r="H629" s="67" t="s">
        <v>37</v>
      </c>
      <c r="I629" s="67" t="s">
        <v>601</v>
      </c>
      <c r="J629" s="67" t="s">
        <v>179</v>
      </c>
      <c r="K629" s="67">
        <v>7.5</v>
      </c>
      <c r="L629" s="299">
        <f t="shared" si="34"/>
        <v>0</v>
      </c>
      <c r="M629" s="221" t="s">
        <v>631</v>
      </c>
      <c r="N629" s="220">
        <f>IF(OR(M629="nio",M629="eigen dienst"),0,IF(M629&gt;0,M629*K629/O629,0))*VLOOKUP(B629,'2-Kosten per locatie'!$A$14:$C$33,3,FALSE)</f>
        <v>0</v>
      </c>
      <c r="O629" s="300">
        <f>IF(OR(M629="nio",M629="eigen dienst"),0,IF(M629&gt;0,VLOOKUP(H629,'3-Productie normen'!A:J,VLOOKUP(M629,'3-Productie normen'!$B$34:$C$35,2,FALSE),FALSE)))</f>
        <v>0</v>
      </c>
      <c r="P629" s="301" t="str">
        <f>VLOOKUP(H629,'3-Productie normen'!A:L,12,FALSE)</f>
        <v>S</v>
      </c>
      <c r="Q629" s="301"/>
      <c r="S629" s="302">
        <f t="shared" si="33"/>
        <v>0</v>
      </c>
    </row>
    <row r="630" spans="1:19" ht="14.15" customHeight="1">
      <c r="A630" s="71">
        <v>630</v>
      </c>
      <c r="B630" s="67" t="s">
        <v>206</v>
      </c>
      <c r="C630" s="467" t="s">
        <v>617</v>
      </c>
      <c r="D630" s="467" t="s">
        <v>720</v>
      </c>
      <c r="E630" s="67" t="s">
        <v>713</v>
      </c>
      <c r="F630" s="67" t="s">
        <v>373</v>
      </c>
      <c r="G630" s="67" t="s">
        <v>514</v>
      </c>
      <c r="H630" s="67" t="s">
        <v>37</v>
      </c>
      <c r="I630" s="67" t="s">
        <v>601</v>
      </c>
      <c r="J630" s="67" t="s">
        <v>179</v>
      </c>
      <c r="K630" s="67">
        <v>6.6</v>
      </c>
      <c r="L630" s="299">
        <f t="shared" si="34"/>
        <v>0</v>
      </c>
      <c r="M630" s="221" t="s">
        <v>631</v>
      </c>
      <c r="N630" s="220">
        <f>IF(OR(M630="nio",M630="eigen dienst"),0,IF(M630&gt;0,M630*K630/O630,0))*VLOOKUP(B630,'2-Kosten per locatie'!$A$14:$C$33,3,FALSE)</f>
        <v>0</v>
      </c>
      <c r="O630" s="300">
        <f>IF(OR(M630="nio",M630="eigen dienst"),0,IF(M630&gt;0,VLOOKUP(H630,'3-Productie normen'!A:J,VLOOKUP(M630,'3-Productie normen'!$B$34:$C$35,2,FALSE),FALSE)))</f>
        <v>0</v>
      </c>
      <c r="P630" s="301" t="str">
        <f>VLOOKUP(H630,'3-Productie normen'!A:L,12,FALSE)</f>
        <v>S</v>
      </c>
      <c r="Q630" s="301"/>
      <c r="S630" s="302">
        <f t="shared" si="33"/>
        <v>0</v>
      </c>
    </row>
    <row r="631" spans="1:19" ht="14.15" customHeight="1">
      <c r="A631" s="71">
        <v>631</v>
      </c>
      <c r="B631" s="67" t="s">
        <v>206</v>
      </c>
      <c r="C631" s="467" t="s">
        <v>617</v>
      </c>
      <c r="D631" s="467" t="s">
        <v>720</v>
      </c>
      <c r="E631" s="67" t="s">
        <v>713</v>
      </c>
      <c r="F631" s="67" t="s">
        <v>374</v>
      </c>
      <c r="G631" s="67" t="s">
        <v>522</v>
      </c>
      <c r="H631" s="67" t="s">
        <v>44</v>
      </c>
      <c r="I631" s="67" t="s">
        <v>72</v>
      </c>
      <c r="J631" s="67" t="s">
        <v>200</v>
      </c>
      <c r="K631" s="67"/>
      <c r="L631" s="299">
        <f t="shared" si="34"/>
        <v>0</v>
      </c>
      <c r="M631" s="221" t="s">
        <v>631</v>
      </c>
      <c r="N631" s="220">
        <f>IF(OR(M631="nio",M631="eigen dienst"),0,IF(M631&gt;0,M631*K631/O631,0))*VLOOKUP(B631,'2-Kosten per locatie'!$A$14:$C$33,3,FALSE)</f>
        <v>0</v>
      </c>
      <c r="O631" s="300">
        <f>IF(OR(M631="nio",M631="eigen dienst"),0,IF(M631&gt;0,VLOOKUP(H631,'3-Productie normen'!A:J,VLOOKUP(M631,'3-Productie normen'!$B$34:$C$35,2,FALSE),FALSE)))</f>
        <v>0</v>
      </c>
      <c r="P631" s="301" t="str">
        <f>VLOOKUP(H631,'3-Productie normen'!A:L,12,FALSE)</f>
        <v>V</v>
      </c>
      <c r="Q631" s="301"/>
      <c r="S631" s="302">
        <f t="shared" si="33"/>
        <v>0</v>
      </c>
    </row>
    <row r="632" spans="1:19" ht="14.15" customHeight="1">
      <c r="A632" s="71">
        <v>632</v>
      </c>
      <c r="B632" s="67" t="s">
        <v>206</v>
      </c>
      <c r="C632" s="467" t="s">
        <v>617</v>
      </c>
      <c r="D632" s="467" t="s">
        <v>720</v>
      </c>
      <c r="E632" s="67" t="s">
        <v>713</v>
      </c>
      <c r="F632" s="67" t="s">
        <v>375</v>
      </c>
      <c r="G632" s="67" t="s">
        <v>518</v>
      </c>
      <c r="H632" s="67" t="s">
        <v>44</v>
      </c>
      <c r="I632" s="67" t="s">
        <v>72</v>
      </c>
      <c r="J632" s="67" t="s">
        <v>200</v>
      </c>
      <c r="K632" s="67"/>
      <c r="L632" s="299">
        <f t="shared" si="34"/>
        <v>0</v>
      </c>
      <c r="M632" s="221" t="s">
        <v>631</v>
      </c>
      <c r="N632" s="220">
        <f>IF(OR(M632="nio",M632="eigen dienst"),0,IF(M632&gt;0,M632*K632/O632,0))*VLOOKUP(B632,'2-Kosten per locatie'!$A$14:$C$33,3,FALSE)</f>
        <v>0</v>
      </c>
      <c r="O632" s="300">
        <f>IF(OR(M632="nio",M632="eigen dienst"),0,IF(M632&gt;0,VLOOKUP(H632,'3-Productie normen'!A:J,VLOOKUP(M632,'3-Productie normen'!$B$34:$C$35,2,FALSE),FALSE)))</f>
        <v>0</v>
      </c>
      <c r="P632" s="301" t="str">
        <f>VLOOKUP(H632,'3-Productie normen'!A:L,12,FALSE)</f>
        <v>V</v>
      </c>
      <c r="Q632" s="301"/>
      <c r="S632" s="302">
        <f t="shared" si="33"/>
        <v>0</v>
      </c>
    </row>
    <row r="633" spans="1:19" ht="14.15" customHeight="1">
      <c r="A633" s="71">
        <v>633</v>
      </c>
      <c r="B633" s="67" t="s">
        <v>206</v>
      </c>
      <c r="C633" s="467" t="s">
        <v>617</v>
      </c>
      <c r="D633" s="467" t="s">
        <v>720</v>
      </c>
      <c r="E633" s="67" t="s">
        <v>713</v>
      </c>
      <c r="F633" s="67" t="s">
        <v>376</v>
      </c>
      <c r="G633" s="67" t="s">
        <v>514</v>
      </c>
      <c r="H633" s="67" t="s">
        <v>37</v>
      </c>
      <c r="I633" s="67" t="s">
        <v>601</v>
      </c>
      <c r="J633" s="67" t="s">
        <v>179</v>
      </c>
      <c r="K633" s="67">
        <v>7.1</v>
      </c>
      <c r="L633" s="299">
        <f t="shared" si="34"/>
        <v>0</v>
      </c>
      <c r="M633" s="221" t="s">
        <v>631</v>
      </c>
      <c r="N633" s="220">
        <f>IF(OR(M633="nio",M633="eigen dienst"),0,IF(M633&gt;0,M633*K633/O633,0))*VLOOKUP(B633,'2-Kosten per locatie'!$A$14:$C$33,3,FALSE)</f>
        <v>0</v>
      </c>
      <c r="O633" s="300">
        <f>IF(OR(M633="nio",M633="eigen dienst"),0,IF(M633&gt;0,VLOOKUP(H633,'3-Productie normen'!A:J,VLOOKUP(M633,'3-Productie normen'!$B$34:$C$35,2,FALSE),FALSE)))</f>
        <v>0</v>
      </c>
      <c r="P633" s="301" t="str">
        <f>VLOOKUP(H633,'3-Productie normen'!A:L,12,FALSE)</f>
        <v>S</v>
      </c>
      <c r="Q633" s="301"/>
      <c r="S633" s="302">
        <f t="shared" si="33"/>
        <v>0</v>
      </c>
    </row>
    <row r="634" spans="1:19" ht="14.15" customHeight="1">
      <c r="A634" s="71">
        <v>634</v>
      </c>
      <c r="B634" s="67" t="s">
        <v>206</v>
      </c>
      <c r="C634" s="467" t="s">
        <v>617</v>
      </c>
      <c r="D634" s="467" t="s">
        <v>720</v>
      </c>
      <c r="E634" s="67" t="s">
        <v>713</v>
      </c>
      <c r="F634" s="67" t="s">
        <v>377</v>
      </c>
      <c r="G634" s="67" t="s">
        <v>539</v>
      </c>
      <c r="H634" s="67" t="s">
        <v>37</v>
      </c>
      <c r="I634" s="67" t="s">
        <v>601</v>
      </c>
      <c r="J634" s="67" t="s">
        <v>179</v>
      </c>
      <c r="K634" s="67">
        <v>4.5999999999999996</v>
      </c>
      <c r="L634" s="299">
        <f t="shared" si="34"/>
        <v>0</v>
      </c>
      <c r="M634" s="221" t="s">
        <v>631</v>
      </c>
      <c r="N634" s="220">
        <f>IF(OR(M634="nio",M634="eigen dienst"),0,IF(M634&gt;0,M634*K634/O634,0))*VLOOKUP(B634,'2-Kosten per locatie'!$A$14:$C$33,3,FALSE)</f>
        <v>0</v>
      </c>
      <c r="O634" s="300">
        <f>IF(OR(M634="nio",M634="eigen dienst"),0,IF(M634&gt;0,VLOOKUP(H634,'3-Productie normen'!A:J,VLOOKUP(M634,'3-Productie normen'!$B$34:$C$35,2,FALSE),FALSE)))</f>
        <v>0</v>
      </c>
      <c r="P634" s="301" t="str">
        <f>VLOOKUP(H634,'3-Productie normen'!A:L,12,FALSE)</f>
        <v>S</v>
      </c>
      <c r="Q634" s="301"/>
      <c r="S634" s="302">
        <f t="shared" si="33"/>
        <v>0</v>
      </c>
    </row>
    <row r="635" spans="1:19" ht="14.15" customHeight="1">
      <c r="A635" s="71">
        <v>635</v>
      </c>
      <c r="B635" s="67" t="s">
        <v>206</v>
      </c>
      <c r="C635" s="467" t="s">
        <v>617</v>
      </c>
      <c r="D635" s="467" t="s">
        <v>720</v>
      </c>
      <c r="E635" s="67" t="s">
        <v>713</v>
      </c>
      <c r="F635" s="67" t="s">
        <v>378</v>
      </c>
      <c r="G635" s="67" t="s">
        <v>553</v>
      </c>
      <c r="H635" s="67" t="s">
        <v>35</v>
      </c>
      <c r="I635" s="67" t="s">
        <v>705</v>
      </c>
      <c r="J635" s="67" t="s">
        <v>200</v>
      </c>
      <c r="K635" s="67">
        <v>6.1</v>
      </c>
      <c r="L635" s="299">
        <f t="shared" si="34"/>
        <v>0</v>
      </c>
      <c r="M635" s="221" t="s">
        <v>631</v>
      </c>
      <c r="N635" s="220">
        <f>IF(OR(M635="nio",M635="eigen dienst"),0,IF(M635&gt;0,M635*K635/O635,0))*VLOOKUP(B635,'2-Kosten per locatie'!$A$14:$C$33,3,FALSE)</f>
        <v>0</v>
      </c>
      <c r="O635" s="300">
        <f>IF(OR(M635="nio",M635="eigen dienst"),0,IF(M635&gt;0,VLOOKUP(H635,'3-Productie normen'!A:J,VLOOKUP(M635,'3-Productie normen'!$B$34:$C$35,2,FALSE),FALSE)))</f>
        <v>0</v>
      </c>
      <c r="P635" s="301" t="str">
        <f>VLOOKUP(H635,'3-Productie normen'!A:L,12,FALSE)</f>
        <v>B</v>
      </c>
      <c r="Q635" s="301"/>
      <c r="S635" s="302">
        <f t="shared" si="33"/>
        <v>0</v>
      </c>
    </row>
    <row r="636" spans="1:19" ht="14.15" customHeight="1">
      <c r="A636" s="71">
        <v>636</v>
      </c>
      <c r="B636" s="67" t="s">
        <v>206</v>
      </c>
      <c r="C636" s="467" t="s">
        <v>617</v>
      </c>
      <c r="D636" s="467" t="s">
        <v>720</v>
      </c>
      <c r="E636" s="67" t="s">
        <v>713</v>
      </c>
      <c r="F636" s="67" t="s">
        <v>379</v>
      </c>
      <c r="G636" s="67" t="s">
        <v>554</v>
      </c>
      <c r="H636" s="67" t="s">
        <v>46</v>
      </c>
      <c r="I636" s="67" t="s">
        <v>705</v>
      </c>
      <c r="J636" s="67" t="s">
        <v>200</v>
      </c>
      <c r="K636" s="67">
        <v>6.4</v>
      </c>
      <c r="L636" s="299">
        <f t="shared" si="34"/>
        <v>0</v>
      </c>
      <c r="M636" s="221" t="s">
        <v>631</v>
      </c>
      <c r="N636" s="220">
        <f>IF(OR(M636="nio",M636="eigen dienst"),0,IF(M636&gt;0,M636*K636/O636,0))*VLOOKUP(B636,'2-Kosten per locatie'!$A$14:$C$33,3,FALSE)</f>
        <v>0</v>
      </c>
      <c r="O636" s="300">
        <f>IF(OR(M636="nio",M636="eigen dienst"),0,IF(M636&gt;0,VLOOKUP(H636,'3-Productie normen'!A:J,VLOOKUP(M636,'3-Productie normen'!$B$34:$C$35,2,FALSE),FALSE)))</f>
        <v>0</v>
      </c>
      <c r="P636" s="301" t="str">
        <f>VLOOKUP(H636,'3-Productie normen'!A:L,12,FALSE)</f>
        <v>V</v>
      </c>
      <c r="Q636" s="301"/>
      <c r="S636" s="302">
        <f t="shared" si="33"/>
        <v>0</v>
      </c>
    </row>
    <row r="637" spans="1:19" ht="14.15" customHeight="1">
      <c r="A637" s="71">
        <v>637</v>
      </c>
      <c r="B637" s="67" t="s">
        <v>206</v>
      </c>
      <c r="C637" s="467" t="s">
        <v>617</v>
      </c>
      <c r="D637" s="467" t="s">
        <v>720</v>
      </c>
      <c r="E637" s="67" t="s">
        <v>713</v>
      </c>
      <c r="F637" s="67" t="s">
        <v>380</v>
      </c>
      <c r="G637" s="67" t="s">
        <v>514</v>
      </c>
      <c r="H637" s="67" t="s">
        <v>37</v>
      </c>
      <c r="I637" s="67" t="s">
        <v>601</v>
      </c>
      <c r="J637" s="67" t="s">
        <v>179</v>
      </c>
      <c r="K637" s="67">
        <v>5</v>
      </c>
      <c r="L637" s="299">
        <f t="shared" si="34"/>
        <v>0</v>
      </c>
      <c r="M637" s="221" t="s">
        <v>631</v>
      </c>
      <c r="N637" s="220">
        <f>IF(OR(M637="nio",M637="eigen dienst"),0,IF(M637&gt;0,M637*K637/O637,0))*VLOOKUP(B637,'2-Kosten per locatie'!$A$14:$C$33,3,FALSE)</f>
        <v>0</v>
      </c>
      <c r="O637" s="300">
        <f>IF(OR(M637="nio",M637="eigen dienst"),0,IF(M637&gt;0,VLOOKUP(H637,'3-Productie normen'!A:J,VLOOKUP(M637,'3-Productie normen'!$B$34:$C$35,2,FALSE),FALSE)))</f>
        <v>0</v>
      </c>
      <c r="P637" s="301" t="str">
        <f>VLOOKUP(H637,'3-Productie normen'!A:L,12,FALSE)</f>
        <v>S</v>
      </c>
      <c r="Q637" s="301"/>
      <c r="S637" s="302">
        <f t="shared" si="33"/>
        <v>0</v>
      </c>
    </row>
    <row r="638" spans="1:19" ht="14.15" customHeight="1">
      <c r="A638" s="71">
        <v>638</v>
      </c>
      <c r="B638" s="67" t="s">
        <v>206</v>
      </c>
      <c r="C638" s="467" t="s">
        <v>617</v>
      </c>
      <c r="D638" s="467" t="s">
        <v>720</v>
      </c>
      <c r="E638" s="67" t="s">
        <v>713</v>
      </c>
      <c r="F638" s="67" t="s">
        <v>381</v>
      </c>
      <c r="G638" s="67" t="s">
        <v>514</v>
      </c>
      <c r="H638" s="67" t="s">
        <v>37</v>
      </c>
      <c r="I638" s="67" t="s">
        <v>601</v>
      </c>
      <c r="J638" s="67" t="s">
        <v>179</v>
      </c>
      <c r="K638" s="67">
        <v>5.6</v>
      </c>
      <c r="L638" s="299">
        <f t="shared" si="34"/>
        <v>0</v>
      </c>
      <c r="M638" s="221" t="s">
        <v>631</v>
      </c>
      <c r="N638" s="220">
        <f>IF(OR(M638="nio",M638="eigen dienst"),0,IF(M638&gt;0,M638*K638/O638,0))*VLOOKUP(B638,'2-Kosten per locatie'!$A$14:$C$33,3,FALSE)</f>
        <v>0</v>
      </c>
      <c r="O638" s="300">
        <f>IF(OR(M638="nio",M638="eigen dienst"),0,IF(M638&gt;0,VLOOKUP(H638,'3-Productie normen'!A:J,VLOOKUP(M638,'3-Productie normen'!$B$34:$C$35,2,FALSE),FALSE)))</f>
        <v>0</v>
      </c>
      <c r="P638" s="301" t="str">
        <f>VLOOKUP(H638,'3-Productie normen'!A:L,12,FALSE)</f>
        <v>S</v>
      </c>
      <c r="Q638" s="301"/>
      <c r="S638" s="302">
        <f t="shared" si="33"/>
        <v>0</v>
      </c>
    </row>
    <row r="639" spans="1:19" ht="14.15" customHeight="1">
      <c r="A639" s="71">
        <v>639</v>
      </c>
      <c r="B639" s="67" t="s">
        <v>206</v>
      </c>
      <c r="C639" s="467" t="s">
        <v>617</v>
      </c>
      <c r="D639" s="467" t="s">
        <v>720</v>
      </c>
      <c r="E639" s="67" t="s">
        <v>713</v>
      </c>
      <c r="F639" s="67" t="s">
        <v>382</v>
      </c>
      <c r="G639" s="67" t="s">
        <v>518</v>
      </c>
      <c r="H639" s="67" t="s">
        <v>44</v>
      </c>
      <c r="I639" s="67" t="s">
        <v>72</v>
      </c>
      <c r="J639" s="67" t="s">
        <v>200</v>
      </c>
      <c r="K639" s="67"/>
      <c r="L639" s="299">
        <f t="shared" si="34"/>
        <v>0</v>
      </c>
      <c r="M639" s="221" t="s">
        <v>631</v>
      </c>
      <c r="N639" s="220">
        <f>IF(OR(M639="nio",M639="eigen dienst"),0,IF(M639&gt;0,M639*K639/O639,0))*VLOOKUP(B639,'2-Kosten per locatie'!$A$14:$C$33,3,FALSE)</f>
        <v>0</v>
      </c>
      <c r="O639" s="300">
        <f>IF(OR(M639="nio",M639="eigen dienst"),0,IF(M639&gt;0,VLOOKUP(H639,'3-Productie normen'!A:J,VLOOKUP(M639,'3-Productie normen'!$B$34:$C$35,2,FALSE),FALSE)))</f>
        <v>0</v>
      </c>
      <c r="P639" s="301" t="str">
        <f>VLOOKUP(H639,'3-Productie normen'!A:L,12,FALSE)</f>
        <v>V</v>
      </c>
      <c r="Q639" s="301"/>
      <c r="S639" s="302">
        <f t="shared" si="33"/>
        <v>0</v>
      </c>
    </row>
    <row r="640" spans="1:19" ht="14.15" customHeight="1">
      <c r="A640" s="71">
        <v>640</v>
      </c>
      <c r="B640" s="67" t="s">
        <v>206</v>
      </c>
      <c r="C640" s="467" t="s">
        <v>617</v>
      </c>
      <c r="D640" s="467" t="s">
        <v>720</v>
      </c>
      <c r="E640" s="67" t="s">
        <v>713</v>
      </c>
      <c r="F640" s="67" t="s">
        <v>383</v>
      </c>
      <c r="G640" s="67" t="s">
        <v>518</v>
      </c>
      <c r="H640" s="67" t="s">
        <v>44</v>
      </c>
      <c r="I640" s="67" t="s">
        <v>705</v>
      </c>
      <c r="J640" s="67" t="s">
        <v>200</v>
      </c>
      <c r="K640" s="67"/>
      <c r="L640" s="299">
        <f t="shared" si="34"/>
        <v>0</v>
      </c>
      <c r="M640" s="221" t="s">
        <v>631</v>
      </c>
      <c r="N640" s="220">
        <f>IF(OR(M640="nio",M640="eigen dienst"),0,IF(M640&gt;0,M640*K640/O640,0))*VLOOKUP(B640,'2-Kosten per locatie'!$A$14:$C$33,3,FALSE)</f>
        <v>0</v>
      </c>
      <c r="O640" s="300">
        <f>IF(OR(M640="nio",M640="eigen dienst"),0,IF(M640&gt;0,VLOOKUP(H640,'3-Productie normen'!A:J,VLOOKUP(M640,'3-Productie normen'!$B$34:$C$35,2,FALSE),FALSE)))</f>
        <v>0</v>
      </c>
      <c r="P640" s="301" t="str">
        <f>VLOOKUP(H640,'3-Productie normen'!A:L,12,FALSE)</f>
        <v>V</v>
      </c>
      <c r="Q640" s="301"/>
      <c r="S640" s="302">
        <f t="shared" si="33"/>
        <v>0</v>
      </c>
    </row>
    <row r="641" spans="1:19" ht="14.15" customHeight="1">
      <c r="A641" s="71">
        <v>641</v>
      </c>
      <c r="B641" s="67" t="s">
        <v>206</v>
      </c>
      <c r="C641" s="467" t="s">
        <v>617</v>
      </c>
      <c r="D641" s="467" t="s">
        <v>720</v>
      </c>
      <c r="E641" s="67" t="s">
        <v>713</v>
      </c>
      <c r="F641" s="67" t="s">
        <v>384</v>
      </c>
      <c r="G641" s="67" t="s">
        <v>515</v>
      </c>
      <c r="H641" s="67" t="s">
        <v>609</v>
      </c>
      <c r="I641" s="67" t="s">
        <v>705</v>
      </c>
      <c r="J641" s="67" t="s">
        <v>200</v>
      </c>
      <c r="K641" s="67">
        <v>49.5</v>
      </c>
      <c r="L641" s="299">
        <f t="shared" si="34"/>
        <v>0</v>
      </c>
      <c r="M641" s="221" t="s">
        <v>631</v>
      </c>
      <c r="N641" s="220">
        <f>IF(OR(M641="nio",M641="eigen dienst"),0,IF(M641&gt;0,M641*K641/O641,0))*VLOOKUP(B641,'2-Kosten per locatie'!$A$14:$C$33,3,FALSE)</f>
        <v>0</v>
      </c>
      <c r="O641" s="300">
        <f>IF(OR(M641="nio",M641="eigen dienst"),0,IF(M641&gt;0,VLOOKUP(H641,'3-Productie normen'!A:J,VLOOKUP(M641,'3-Productie normen'!$B$34:$C$35,2,FALSE),FALSE)))</f>
        <v>0</v>
      </c>
      <c r="P641" s="301" t="str">
        <f>VLOOKUP(H641,'3-Productie normen'!A:L,12,FALSE)</f>
        <v>L</v>
      </c>
      <c r="Q641" s="301"/>
      <c r="S641" s="302">
        <f t="shared" si="33"/>
        <v>0</v>
      </c>
    </row>
    <row r="642" spans="1:19" ht="14.15" customHeight="1">
      <c r="A642" s="71">
        <v>642</v>
      </c>
      <c r="B642" s="67" t="s">
        <v>206</v>
      </c>
      <c r="C642" s="467" t="s">
        <v>617</v>
      </c>
      <c r="D642" s="467" t="s">
        <v>720</v>
      </c>
      <c r="E642" s="67" t="s">
        <v>713</v>
      </c>
      <c r="F642" s="67" t="s">
        <v>385</v>
      </c>
      <c r="G642" s="67" t="s">
        <v>515</v>
      </c>
      <c r="H642" s="67" t="s">
        <v>609</v>
      </c>
      <c r="I642" s="67" t="s">
        <v>705</v>
      </c>
      <c r="J642" s="67" t="s">
        <v>200</v>
      </c>
      <c r="K642" s="67">
        <v>52.1</v>
      </c>
      <c r="L642" s="299">
        <f t="shared" si="34"/>
        <v>0</v>
      </c>
      <c r="M642" s="221" t="s">
        <v>631</v>
      </c>
      <c r="N642" s="220">
        <f>IF(OR(M642="nio",M642="eigen dienst"),0,IF(M642&gt;0,M642*K642/O642,0))*VLOOKUP(B642,'2-Kosten per locatie'!$A$14:$C$33,3,FALSE)</f>
        <v>0</v>
      </c>
      <c r="O642" s="300">
        <f>IF(OR(M642="nio",M642="eigen dienst"),0,IF(M642&gt;0,VLOOKUP(H642,'3-Productie normen'!A:J,VLOOKUP(M642,'3-Productie normen'!$B$34:$C$35,2,FALSE),FALSE)))</f>
        <v>0</v>
      </c>
      <c r="P642" s="301" t="str">
        <f>VLOOKUP(H642,'3-Productie normen'!A:L,12,FALSE)</f>
        <v>L</v>
      </c>
      <c r="Q642" s="301"/>
      <c r="S642" s="302">
        <f t="shared" si="33"/>
        <v>0</v>
      </c>
    </row>
    <row r="643" spans="1:19" ht="14.15" customHeight="1">
      <c r="A643" s="71">
        <v>643</v>
      </c>
      <c r="B643" s="67" t="s">
        <v>206</v>
      </c>
      <c r="C643" s="467" t="s">
        <v>617</v>
      </c>
      <c r="D643" s="467" t="s">
        <v>720</v>
      </c>
      <c r="E643" s="67" t="s">
        <v>713</v>
      </c>
      <c r="F643" s="67" t="s">
        <v>386</v>
      </c>
      <c r="G643" s="67" t="s">
        <v>515</v>
      </c>
      <c r="H643" s="67" t="s">
        <v>609</v>
      </c>
      <c r="I643" s="67" t="s">
        <v>705</v>
      </c>
      <c r="J643" s="67" t="s">
        <v>200</v>
      </c>
      <c r="K643" s="67">
        <v>54.3</v>
      </c>
      <c r="L643" s="299">
        <f t="shared" si="34"/>
        <v>0</v>
      </c>
      <c r="M643" s="221" t="s">
        <v>631</v>
      </c>
      <c r="N643" s="220">
        <f>IF(OR(M643="nio",M643="eigen dienst"),0,IF(M643&gt;0,M643*K643/O643,0))*VLOOKUP(B643,'2-Kosten per locatie'!$A$14:$C$33,3,FALSE)</f>
        <v>0</v>
      </c>
      <c r="O643" s="300">
        <f>IF(OR(M643="nio",M643="eigen dienst"),0,IF(M643&gt;0,VLOOKUP(H643,'3-Productie normen'!A:J,VLOOKUP(M643,'3-Productie normen'!$B$34:$C$35,2,FALSE),FALSE)))</f>
        <v>0</v>
      </c>
      <c r="P643" s="301" t="str">
        <f>VLOOKUP(H643,'3-Productie normen'!A:L,12,FALSE)</f>
        <v>L</v>
      </c>
      <c r="Q643" s="301"/>
      <c r="S643" s="302">
        <f t="shared" si="33"/>
        <v>0</v>
      </c>
    </row>
    <row r="644" spans="1:19" ht="14.15" customHeight="1">
      <c r="A644" s="71">
        <v>644</v>
      </c>
      <c r="B644" s="67" t="s">
        <v>206</v>
      </c>
      <c r="C644" s="467" t="s">
        <v>617</v>
      </c>
      <c r="D644" s="467" t="s">
        <v>720</v>
      </c>
      <c r="E644" s="67" t="s">
        <v>713</v>
      </c>
      <c r="F644" s="67" t="s">
        <v>387</v>
      </c>
      <c r="G644" s="67" t="s">
        <v>513</v>
      </c>
      <c r="H644" s="67" t="s">
        <v>45</v>
      </c>
      <c r="I644" s="67" t="s">
        <v>599</v>
      </c>
      <c r="J644" s="67" t="s">
        <v>200</v>
      </c>
      <c r="K644" s="67">
        <v>106.7</v>
      </c>
      <c r="L644" s="299">
        <f t="shared" si="34"/>
        <v>0</v>
      </c>
      <c r="M644" s="221" t="s">
        <v>631</v>
      </c>
      <c r="N644" s="220">
        <f>IF(OR(M644="nio",M644="eigen dienst"),0,IF(M644&gt;0,M644*K644/O644,0))*VLOOKUP(B644,'2-Kosten per locatie'!$A$14:$C$33,3,FALSE)</f>
        <v>0</v>
      </c>
      <c r="O644" s="300">
        <f>IF(OR(M644="nio",M644="eigen dienst"),0,IF(M644&gt;0,VLOOKUP(H644,'3-Productie normen'!A:J,VLOOKUP(M644,'3-Productie normen'!$B$34:$C$35,2,FALSE),FALSE)))</f>
        <v>0</v>
      </c>
      <c r="P644" s="301" t="str">
        <f>VLOOKUP(H644,'3-Productie normen'!A:L,12,FALSE)</f>
        <v>L</v>
      </c>
      <c r="Q644" s="301"/>
      <c r="S644" s="302">
        <f t="shared" si="33"/>
        <v>0</v>
      </c>
    </row>
    <row r="645" spans="1:19" ht="14.15" customHeight="1">
      <c r="A645" s="71">
        <v>645</v>
      </c>
      <c r="B645" s="67" t="s">
        <v>206</v>
      </c>
      <c r="C645" s="467" t="s">
        <v>617</v>
      </c>
      <c r="D645" s="467" t="s">
        <v>720</v>
      </c>
      <c r="E645" s="67" t="s">
        <v>713</v>
      </c>
      <c r="F645" s="67" t="s">
        <v>388</v>
      </c>
      <c r="G645" s="67" t="s">
        <v>48</v>
      </c>
      <c r="H645" s="67" t="s">
        <v>48</v>
      </c>
      <c r="I645" s="67" t="s">
        <v>72</v>
      </c>
      <c r="J645" s="67" t="s">
        <v>200</v>
      </c>
      <c r="K645" s="67">
        <v>7.6</v>
      </c>
      <c r="L645" s="299">
        <f t="shared" si="34"/>
        <v>0</v>
      </c>
      <c r="M645" s="221" t="s">
        <v>631</v>
      </c>
      <c r="N645" s="220">
        <f>IF(OR(M645="nio",M645="eigen dienst"),0,IF(M645&gt;0,M645*K645/O645,0))*VLOOKUP(B645,'2-Kosten per locatie'!$A$14:$C$33,3,FALSE)</f>
        <v>0</v>
      </c>
      <c r="O645" s="300">
        <f>IF(OR(M645="nio",M645="eigen dienst"),0,IF(M645&gt;0,VLOOKUP(H645,'3-Productie normen'!A:J,VLOOKUP(M645,'3-Productie normen'!$B$34:$C$35,2,FALSE),FALSE)))</f>
        <v>0</v>
      </c>
      <c r="P645" s="301" t="str">
        <f>VLOOKUP(H645,'3-Productie normen'!A:L,12,FALSE)</f>
        <v>V</v>
      </c>
      <c r="Q645" s="301"/>
      <c r="S645" s="302">
        <f t="shared" si="33"/>
        <v>0</v>
      </c>
    </row>
    <row r="646" spans="1:19" ht="14.15" customHeight="1">
      <c r="A646" s="71">
        <v>646</v>
      </c>
      <c r="B646" s="67" t="s">
        <v>206</v>
      </c>
      <c r="C646" s="467" t="s">
        <v>617</v>
      </c>
      <c r="D646" s="467" t="s">
        <v>720</v>
      </c>
      <c r="E646" s="67" t="s">
        <v>714</v>
      </c>
      <c r="F646" s="67" t="s">
        <v>389</v>
      </c>
      <c r="G646" s="67" t="s">
        <v>48</v>
      </c>
      <c r="H646" s="67" t="s">
        <v>48</v>
      </c>
      <c r="I646" s="67" t="s">
        <v>605</v>
      </c>
      <c r="J646" s="67" t="s">
        <v>605</v>
      </c>
      <c r="K646" s="67">
        <v>39.200000000000003</v>
      </c>
      <c r="L646" s="299">
        <f t="shared" ref="L646:L702" si="35">SUM(M646:M646)</f>
        <v>0</v>
      </c>
      <c r="M646" s="221" t="s">
        <v>631</v>
      </c>
      <c r="N646" s="220">
        <f>IF(OR(M646="nio",M646="eigen dienst"),0,IF(M646&gt;0,M646*K646/O646,0))*VLOOKUP(B646,'2-Kosten per locatie'!$A$14:$C$33,3,FALSE)</f>
        <v>0</v>
      </c>
      <c r="O646" s="300">
        <f>IF(OR(M646="nio",M646="eigen dienst"),0,IF(M646&gt;0,VLOOKUP(H646,'3-Productie normen'!A:J,VLOOKUP(M646,'3-Productie normen'!$B$34:$C$35,2,FALSE),FALSE)))</f>
        <v>0</v>
      </c>
      <c r="P646" s="301" t="str">
        <f>VLOOKUP(H646,'3-Productie normen'!A:L,12,FALSE)</f>
        <v>V</v>
      </c>
      <c r="Q646" s="301"/>
      <c r="S646" s="302">
        <f t="shared" ref="S646:S702" si="36">L646*K646</f>
        <v>0</v>
      </c>
    </row>
    <row r="647" spans="1:19" ht="14.15" customHeight="1">
      <c r="A647" s="71">
        <v>647</v>
      </c>
      <c r="B647" s="67" t="s">
        <v>206</v>
      </c>
      <c r="C647" s="467" t="s">
        <v>617</v>
      </c>
      <c r="D647" s="467" t="s">
        <v>720</v>
      </c>
      <c r="E647" s="67" t="s">
        <v>714</v>
      </c>
      <c r="F647" s="67" t="s">
        <v>390</v>
      </c>
      <c r="G647" s="67" t="s">
        <v>512</v>
      </c>
      <c r="H647" s="67" t="s">
        <v>39</v>
      </c>
      <c r="I647" s="67" t="s">
        <v>705</v>
      </c>
      <c r="J647" s="67" t="s">
        <v>200</v>
      </c>
      <c r="K647" s="67">
        <v>27</v>
      </c>
      <c r="L647" s="299">
        <f t="shared" si="35"/>
        <v>0</v>
      </c>
      <c r="M647" s="221" t="s">
        <v>631</v>
      </c>
      <c r="N647" s="220">
        <f>IF(OR(M647="nio",M647="eigen dienst"),0,IF(M647&gt;0,M647*K647/O647,0))*VLOOKUP(B647,'2-Kosten per locatie'!$A$14:$C$33,3,FALSE)</f>
        <v>0</v>
      </c>
      <c r="O647" s="300">
        <f>IF(OR(M647="nio",M647="eigen dienst"),0,IF(M647&gt;0,VLOOKUP(H647,'3-Productie normen'!A:J,VLOOKUP(M647,'3-Productie normen'!$B$34:$C$35,2,FALSE),FALSE)))</f>
        <v>0</v>
      </c>
      <c r="P647" s="301" t="str">
        <f>VLOOKUP(H647,'3-Productie normen'!A:L,12,FALSE)</f>
        <v>V</v>
      </c>
      <c r="Q647" s="301"/>
      <c r="S647" s="302">
        <f t="shared" si="36"/>
        <v>0</v>
      </c>
    </row>
    <row r="648" spans="1:19" ht="14.15" customHeight="1">
      <c r="A648" s="71">
        <v>648</v>
      </c>
      <c r="B648" s="67" t="s">
        <v>206</v>
      </c>
      <c r="C648" s="467" t="s">
        <v>617</v>
      </c>
      <c r="D648" s="467" t="s">
        <v>720</v>
      </c>
      <c r="E648" s="67" t="s">
        <v>714</v>
      </c>
      <c r="F648" s="67" t="s">
        <v>390</v>
      </c>
      <c r="G648" s="67" t="s">
        <v>512</v>
      </c>
      <c r="H648" s="67" t="s">
        <v>39</v>
      </c>
      <c r="I648" s="67" t="s">
        <v>705</v>
      </c>
      <c r="J648" s="67" t="s">
        <v>200</v>
      </c>
      <c r="K648" s="67">
        <v>94.4</v>
      </c>
      <c r="L648" s="299">
        <f t="shared" si="35"/>
        <v>0</v>
      </c>
      <c r="M648" s="221" t="s">
        <v>631</v>
      </c>
      <c r="N648" s="220">
        <f>IF(OR(M648="nio",M648="eigen dienst"),0,IF(M648&gt;0,M648*K648/O648,0))*VLOOKUP(B648,'2-Kosten per locatie'!$A$14:$C$33,3,FALSE)</f>
        <v>0</v>
      </c>
      <c r="O648" s="300">
        <f>IF(OR(M648="nio",M648="eigen dienst"),0,IF(M648&gt;0,VLOOKUP(H648,'3-Productie normen'!A:J,VLOOKUP(M648,'3-Productie normen'!$B$34:$C$35,2,FALSE),FALSE)))</f>
        <v>0</v>
      </c>
      <c r="P648" s="301" t="str">
        <f>VLOOKUP(H648,'3-Productie normen'!A:L,12,FALSE)</f>
        <v>V</v>
      </c>
      <c r="Q648" s="301"/>
      <c r="S648" s="302">
        <f t="shared" si="36"/>
        <v>0</v>
      </c>
    </row>
    <row r="649" spans="1:19" ht="14.15" customHeight="1">
      <c r="A649" s="71">
        <v>649</v>
      </c>
      <c r="B649" s="67" t="s">
        <v>206</v>
      </c>
      <c r="C649" s="467" t="s">
        <v>617</v>
      </c>
      <c r="D649" s="467" t="s">
        <v>720</v>
      </c>
      <c r="E649" s="67" t="s">
        <v>714</v>
      </c>
      <c r="F649" s="67" t="s">
        <v>391</v>
      </c>
      <c r="G649" s="67" t="s">
        <v>553</v>
      </c>
      <c r="H649" s="67" t="s">
        <v>35</v>
      </c>
      <c r="I649" s="67" t="s">
        <v>705</v>
      </c>
      <c r="J649" s="67" t="s">
        <v>200</v>
      </c>
      <c r="K649" s="67">
        <v>4</v>
      </c>
      <c r="L649" s="299">
        <f t="shared" si="35"/>
        <v>0</v>
      </c>
      <c r="M649" s="221" t="s">
        <v>631</v>
      </c>
      <c r="N649" s="220">
        <f>IF(OR(M649="nio",M649="eigen dienst"),0,IF(M649&gt;0,M649*K649/O649,0))*VLOOKUP(B649,'2-Kosten per locatie'!$A$14:$C$33,3,FALSE)</f>
        <v>0</v>
      </c>
      <c r="O649" s="300">
        <f>IF(OR(M649="nio",M649="eigen dienst"),0,IF(M649&gt;0,VLOOKUP(H649,'3-Productie normen'!A:J,VLOOKUP(M649,'3-Productie normen'!$B$34:$C$35,2,FALSE),FALSE)))</f>
        <v>0</v>
      </c>
      <c r="P649" s="301" t="str">
        <f>VLOOKUP(H649,'3-Productie normen'!A:L,12,FALSE)</f>
        <v>B</v>
      </c>
      <c r="Q649" s="301"/>
      <c r="S649" s="302">
        <f t="shared" si="36"/>
        <v>0</v>
      </c>
    </row>
    <row r="650" spans="1:19" ht="14.15" customHeight="1">
      <c r="A650" s="71">
        <v>650</v>
      </c>
      <c r="B650" s="67" t="s">
        <v>206</v>
      </c>
      <c r="C650" s="467" t="s">
        <v>617</v>
      </c>
      <c r="D650" s="467" t="s">
        <v>720</v>
      </c>
      <c r="E650" s="67" t="s">
        <v>714</v>
      </c>
      <c r="F650" s="67" t="s">
        <v>392</v>
      </c>
      <c r="G650" s="67" t="s">
        <v>48</v>
      </c>
      <c r="H650" s="67" t="s">
        <v>48</v>
      </c>
      <c r="I650" s="67" t="s">
        <v>605</v>
      </c>
      <c r="J650" s="67" t="s">
        <v>605</v>
      </c>
      <c r="K650" s="67">
        <v>15.8</v>
      </c>
      <c r="L650" s="299">
        <f t="shared" si="35"/>
        <v>0</v>
      </c>
      <c r="M650" s="221" t="s">
        <v>631</v>
      </c>
      <c r="N650" s="220">
        <f>IF(OR(M650="nio",M650="eigen dienst"),0,IF(M650&gt;0,M650*K650/O650,0))*VLOOKUP(B650,'2-Kosten per locatie'!$A$14:$C$33,3,FALSE)</f>
        <v>0</v>
      </c>
      <c r="O650" s="300">
        <f>IF(OR(M650="nio",M650="eigen dienst"),0,IF(M650&gt;0,VLOOKUP(H650,'3-Productie normen'!A:J,VLOOKUP(M650,'3-Productie normen'!$B$34:$C$35,2,FALSE),FALSE)))</f>
        <v>0</v>
      </c>
      <c r="P650" s="301" t="str">
        <f>VLOOKUP(H650,'3-Productie normen'!A:L,12,FALSE)</f>
        <v>V</v>
      </c>
      <c r="Q650" s="301"/>
      <c r="S650" s="302">
        <f t="shared" si="36"/>
        <v>0</v>
      </c>
    </row>
    <row r="651" spans="1:19" ht="14.15" customHeight="1">
      <c r="A651" s="71">
        <v>651</v>
      </c>
      <c r="B651" s="67" t="s">
        <v>206</v>
      </c>
      <c r="C651" s="467" t="s">
        <v>617</v>
      </c>
      <c r="D651" s="467" t="s">
        <v>720</v>
      </c>
      <c r="E651" s="67" t="s">
        <v>714</v>
      </c>
      <c r="F651" s="67" t="s">
        <v>393</v>
      </c>
      <c r="G651" s="67" t="s">
        <v>555</v>
      </c>
      <c r="H651" s="67" t="s">
        <v>46</v>
      </c>
      <c r="I651" s="67" t="s">
        <v>705</v>
      </c>
      <c r="J651" s="67" t="s">
        <v>200</v>
      </c>
      <c r="K651" s="67">
        <v>8.3000000000000007</v>
      </c>
      <c r="L651" s="299">
        <f t="shared" si="35"/>
        <v>0</v>
      </c>
      <c r="M651" s="221" t="s">
        <v>631</v>
      </c>
      <c r="N651" s="220">
        <f>IF(OR(M651="nio",M651="eigen dienst"),0,IF(M651&gt;0,M651*K651/O651,0))*VLOOKUP(B651,'2-Kosten per locatie'!$A$14:$C$33,3,FALSE)</f>
        <v>0</v>
      </c>
      <c r="O651" s="300">
        <f>IF(OR(M651="nio",M651="eigen dienst"),0,IF(M651&gt;0,VLOOKUP(H651,'3-Productie normen'!A:J,VLOOKUP(M651,'3-Productie normen'!$B$34:$C$35,2,FALSE),FALSE)))</f>
        <v>0</v>
      </c>
      <c r="P651" s="301" t="str">
        <f>VLOOKUP(H651,'3-Productie normen'!A:L,12,FALSE)</f>
        <v>V</v>
      </c>
      <c r="Q651" s="301"/>
      <c r="S651" s="302">
        <f t="shared" si="36"/>
        <v>0</v>
      </c>
    </row>
    <row r="652" spans="1:19" ht="14.15" customHeight="1">
      <c r="A652" s="71">
        <v>652</v>
      </c>
      <c r="B652" s="67" t="s">
        <v>206</v>
      </c>
      <c r="C652" s="467" t="s">
        <v>617</v>
      </c>
      <c r="D652" s="467" t="s">
        <v>720</v>
      </c>
      <c r="E652" s="67" t="s">
        <v>714</v>
      </c>
      <c r="F652" s="67" t="s">
        <v>394</v>
      </c>
      <c r="G652" s="67" t="s">
        <v>550</v>
      </c>
      <c r="H652" s="67" t="s">
        <v>46</v>
      </c>
      <c r="I652" s="67" t="s">
        <v>705</v>
      </c>
      <c r="J652" s="67" t="s">
        <v>200</v>
      </c>
      <c r="K652" s="67">
        <v>4.5</v>
      </c>
      <c r="L652" s="299">
        <f t="shared" si="35"/>
        <v>0</v>
      </c>
      <c r="M652" s="221" t="s">
        <v>631</v>
      </c>
      <c r="N652" s="220">
        <f>IF(OR(M652="nio",M652="eigen dienst"),0,IF(M652&gt;0,M652*K652/O652,0))*VLOOKUP(B652,'2-Kosten per locatie'!$A$14:$C$33,3,FALSE)</f>
        <v>0</v>
      </c>
      <c r="O652" s="300">
        <f>IF(OR(M652="nio",M652="eigen dienst"),0,IF(M652&gt;0,VLOOKUP(H652,'3-Productie normen'!A:J,VLOOKUP(M652,'3-Productie normen'!$B$34:$C$35,2,FALSE),FALSE)))</f>
        <v>0</v>
      </c>
      <c r="P652" s="301" t="str">
        <f>VLOOKUP(H652,'3-Productie normen'!A:L,12,FALSE)</f>
        <v>V</v>
      </c>
      <c r="Q652" s="301"/>
      <c r="S652" s="302">
        <f t="shared" si="36"/>
        <v>0</v>
      </c>
    </row>
    <row r="653" spans="1:19" ht="14.15" customHeight="1">
      <c r="A653" s="71">
        <v>653</v>
      </c>
      <c r="B653" s="67" t="s">
        <v>206</v>
      </c>
      <c r="C653" s="467" t="s">
        <v>617</v>
      </c>
      <c r="D653" s="467" t="s">
        <v>720</v>
      </c>
      <c r="E653" s="67" t="s">
        <v>714</v>
      </c>
      <c r="F653" s="67" t="s">
        <v>395</v>
      </c>
      <c r="G653" s="67" t="s">
        <v>515</v>
      </c>
      <c r="H653" s="67" t="s">
        <v>609</v>
      </c>
      <c r="I653" s="67" t="s">
        <v>705</v>
      </c>
      <c r="J653" s="67" t="s">
        <v>200</v>
      </c>
      <c r="K653" s="67">
        <v>7.3</v>
      </c>
      <c r="L653" s="299">
        <f t="shared" si="35"/>
        <v>0</v>
      </c>
      <c r="M653" s="221" t="s">
        <v>631</v>
      </c>
      <c r="N653" s="220">
        <f>IF(OR(M653="nio",M653="eigen dienst"),0,IF(M653&gt;0,M653*K653/O653,0))*VLOOKUP(B653,'2-Kosten per locatie'!$A$14:$C$33,3,FALSE)</f>
        <v>0</v>
      </c>
      <c r="O653" s="300">
        <f>IF(OR(M653="nio",M653="eigen dienst"),0,IF(M653&gt;0,VLOOKUP(H653,'3-Productie normen'!A:J,VLOOKUP(M653,'3-Productie normen'!$B$34:$C$35,2,FALSE),FALSE)))</f>
        <v>0</v>
      </c>
      <c r="P653" s="301" t="str">
        <f>VLOOKUP(H653,'3-Productie normen'!A:L,12,FALSE)</f>
        <v>L</v>
      </c>
      <c r="Q653" s="301"/>
      <c r="S653" s="302">
        <f t="shared" si="36"/>
        <v>0</v>
      </c>
    </row>
    <row r="654" spans="1:19" ht="14.15" customHeight="1">
      <c r="A654" s="71">
        <v>654</v>
      </c>
      <c r="B654" s="67" t="s">
        <v>206</v>
      </c>
      <c r="C654" s="467" t="s">
        <v>617</v>
      </c>
      <c r="D654" s="467" t="s">
        <v>720</v>
      </c>
      <c r="E654" s="67" t="s">
        <v>714</v>
      </c>
      <c r="F654" s="67" t="s">
        <v>396</v>
      </c>
      <c r="G654" s="67" t="s">
        <v>515</v>
      </c>
      <c r="H654" s="67" t="s">
        <v>609</v>
      </c>
      <c r="I654" s="67" t="s">
        <v>705</v>
      </c>
      <c r="J654" s="67" t="s">
        <v>200</v>
      </c>
      <c r="K654" s="67">
        <v>7.4</v>
      </c>
      <c r="L654" s="299">
        <f t="shared" si="35"/>
        <v>0</v>
      </c>
      <c r="M654" s="221" t="s">
        <v>631</v>
      </c>
      <c r="N654" s="220">
        <f>IF(OR(M654="nio",M654="eigen dienst"),0,IF(M654&gt;0,M654*K654/O654,0))*VLOOKUP(B654,'2-Kosten per locatie'!$A$14:$C$33,3,FALSE)</f>
        <v>0</v>
      </c>
      <c r="O654" s="300">
        <f>IF(OR(M654="nio",M654="eigen dienst"),0,IF(M654&gt;0,VLOOKUP(H654,'3-Productie normen'!A:J,VLOOKUP(M654,'3-Productie normen'!$B$34:$C$35,2,FALSE),FALSE)))</f>
        <v>0</v>
      </c>
      <c r="P654" s="301" t="str">
        <f>VLOOKUP(H654,'3-Productie normen'!A:L,12,FALSE)</f>
        <v>L</v>
      </c>
      <c r="Q654" s="301"/>
      <c r="S654" s="302">
        <f t="shared" si="36"/>
        <v>0</v>
      </c>
    </row>
    <row r="655" spans="1:19" ht="14.15" customHeight="1">
      <c r="A655" s="71">
        <v>655</v>
      </c>
      <c r="B655" s="67" t="s">
        <v>206</v>
      </c>
      <c r="C655" s="467" t="s">
        <v>617</v>
      </c>
      <c r="D655" s="467" t="s">
        <v>720</v>
      </c>
      <c r="E655" s="67" t="s">
        <v>714</v>
      </c>
      <c r="F655" s="67" t="s">
        <v>397</v>
      </c>
      <c r="G655" s="67" t="s">
        <v>522</v>
      </c>
      <c r="H655" s="67" t="s">
        <v>44</v>
      </c>
      <c r="I655" s="67" t="s">
        <v>705</v>
      </c>
      <c r="J655" s="67" t="s">
        <v>200</v>
      </c>
      <c r="K655" s="67">
        <v>6.5</v>
      </c>
      <c r="L655" s="299">
        <f t="shared" si="35"/>
        <v>0</v>
      </c>
      <c r="M655" s="221" t="s">
        <v>631</v>
      </c>
      <c r="N655" s="220">
        <f>IF(OR(M655="nio",M655="eigen dienst"),0,IF(M655&gt;0,M655*K655/O655,0))*VLOOKUP(B655,'2-Kosten per locatie'!$A$14:$C$33,3,FALSE)</f>
        <v>0</v>
      </c>
      <c r="O655" s="300">
        <f>IF(OR(M655="nio",M655="eigen dienst"),0,IF(M655&gt;0,VLOOKUP(H655,'3-Productie normen'!A:J,VLOOKUP(M655,'3-Productie normen'!$B$34:$C$35,2,FALSE),FALSE)))</f>
        <v>0</v>
      </c>
      <c r="P655" s="301" t="str">
        <f>VLOOKUP(H655,'3-Productie normen'!A:L,12,FALSE)</f>
        <v>V</v>
      </c>
      <c r="Q655" s="301"/>
      <c r="S655" s="302">
        <f t="shared" si="36"/>
        <v>0</v>
      </c>
    </row>
    <row r="656" spans="1:19" ht="14.15" customHeight="1">
      <c r="A656" s="71">
        <v>656</v>
      </c>
      <c r="B656" s="67" t="s">
        <v>206</v>
      </c>
      <c r="C656" s="467" t="s">
        <v>617</v>
      </c>
      <c r="D656" s="467" t="s">
        <v>720</v>
      </c>
      <c r="E656" s="67" t="s">
        <v>714</v>
      </c>
      <c r="F656" s="67" t="s">
        <v>398</v>
      </c>
      <c r="G656" s="67" t="s">
        <v>515</v>
      </c>
      <c r="H656" s="67" t="s">
        <v>609</v>
      </c>
      <c r="I656" s="67" t="s">
        <v>705</v>
      </c>
      <c r="J656" s="67" t="s">
        <v>200</v>
      </c>
      <c r="K656" s="67">
        <v>57.5</v>
      </c>
      <c r="L656" s="299">
        <f t="shared" si="35"/>
        <v>0</v>
      </c>
      <c r="M656" s="221" t="s">
        <v>631</v>
      </c>
      <c r="N656" s="220">
        <f>IF(OR(M656="nio",M656="eigen dienst"),0,IF(M656&gt;0,M656*K656/O656,0))*VLOOKUP(B656,'2-Kosten per locatie'!$A$14:$C$33,3,FALSE)</f>
        <v>0</v>
      </c>
      <c r="O656" s="300">
        <f>IF(OR(M656="nio",M656="eigen dienst"),0,IF(M656&gt;0,VLOOKUP(H656,'3-Productie normen'!A:J,VLOOKUP(M656,'3-Productie normen'!$B$34:$C$35,2,FALSE),FALSE)))</f>
        <v>0</v>
      </c>
      <c r="P656" s="301" t="str">
        <f>VLOOKUP(H656,'3-Productie normen'!A:L,12,FALSE)</f>
        <v>L</v>
      </c>
      <c r="Q656" s="301"/>
      <c r="S656" s="302">
        <f t="shared" si="36"/>
        <v>0</v>
      </c>
    </row>
    <row r="657" spans="1:19" ht="14.15" customHeight="1">
      <c r="A657" s="71">
        <v>657</v>
      </c>
      <c r="B657" s="67" t="s">
        <v>206</v>
      </c>
      <c r="C657" s="467" t="s">
        <v>617</v>
      </c>
      <c r="D657" s="467" t="s">
        <v>720</v>
      </c>
      <c r="E657" s="67" t="s">
        <v>714</v>
      </c>
      <c r="F657" s="67" t="s">
        <v>399</v>
      </c>
      <c r="G657" s="67" t="s">
        <v>515</v>
      </c>
      <c r="H657" s="67" t="s">
        <v>609</v>
      </c>
      <c r="I657" s="67" t="s">
        <v>705</v>
      </c>
      <c r="J657" s="67" t="s">
        <v>200</v>
      </c>
      <c r="K657" s="67">
        <v>53.5</v>
      </c>
      <c r="L657" s="299">
        <f t="shared" si="35"/>
        <v>0</v>
      </c>
      <c r="M657" s="221" t="s">
        <v>631</v>
      </c>
      <c r="N657" s="220">
        <f>IF(OR(M657="nio",M657="eigen dienst"),0,IF(M657&gt;0,M657*K657/O657,0))*VLOOKUP(B657,'2-Kosten per locatie'!$A$14:$C$33,3,FALSE)</f>
        <v>0</v>
      </c>
      <c r="O657" s="300">
        <f>IF(OR(M657="nio",M657="eigen dienst"),0,IF(M657&gt;0,VLOOKUP(H657,'3-Productie normen'!A:J,VLOOKUP(M657,'3-Productie normen'!$B$34:$C$35,2,FALSE),FALSE)))</f>
        <v>0</v>
      </c>
      <c r="P657" s="301" t="str">
        <f>VLOOKUP(H657,'3-Productie normen'!A:L,12,FALSE)</f>
        <v>L</v>
      </c>
      <c r="Q657" s="301"/>
      <c r="S657" s="302">
        <f t="shared" si="36"/>
        <v>0</v>
      </c>
    </row>
    <row r="658" spans="1:19" ht="14.15" customHeight="1">
      <c r="A658" s="71">
        <v>658</v>
      </c>
      <c r="B658" s="67" t="s">
        <v>206</v>
      </c>
      <c r="C658" s="467" t="s">
        <v>617</v>
      </c>
      <c r="D658" s="467" t="s">
        <v>720</v>
      </c>
      <c r="E658" s="67" t="s">
        <v>714</v>
      </c>
      <c r="F658" s="67" t="s">
        <v>400</v>
      </c>
      <c r="G658" s="67" t="s">
        <v>516</v>
      </c>
      <c r="H658" s="67" t="s">
        <v>35</v>
      </c>
      <c r="I658" s="67" t="s">
        <v>705</v>
      </c>
      <c r="J658" s="67" t="s">
        <v>200</v>
      </c>
      <c r="K658" s="67">
        <v>49.9</v>
      </c>
      <c r="L658" s="299">
        <f t="shared" si="35"/>
        <v>0</v>
      </c>
      <c r="M658" s="221" t="s">
        <v>631</v>
      </c>
      <c r="N658" s="220">
        <f>IF(OR(M658="nio",M658="eigen dienst"),0,IF(M658&gt;0,M658*K658/O658,0))*VLOOKUP(B658,'2-Kosten per locatie'!$A$14:$C$33,3,FALSE)</f>
        <v>0</v>
      </c>
      <c r="O658" s="300">
        <f>IF(OR(M658="nio",M658="eigen dienst"),0,IF(M658&gt;0,VLOOKUP(H658,'3-Productie normen'!A:J,VLOOKUP(M658,'3-Productie normen'!$B$34:$C$35,2,FALSE),FALSE)))</f>
        <v>0</v>
      </c>
      <c r="P658" s="301" t="str">
        <f>VLOOKUP(H658,'3-Productie normen'!A:L,12,FALSE)</f>
        <v>B</v>
      </c>
      <c r="Q658" s="301"/>
      <c r="S658" s="302">
        <f t="shared" si="36"/>
        <v>0</v>
      </c>
    </row>
    <row r="659" spans="1:19" ht="14.15" customHeight="1">
      <c r="A659" s="71">
        <v>659</v>
      </c>
      <c r="B659" s="67" t="s">
        <v>206</v>
      </c>
      <c r="C659" s="467" t="s">
        <v>617</v>
      </c>
      <c r="D659" s="467" t="s">
        <v>720</v>
      </c>
      <c r="E659" s="67" t="s">
        <v>714</v>
      </c>
      <c r="F659" s="67" t="s">
        <v>401</v>
      </c>
      <c r="G659" s="67" t="s">
        <v>550</v>
      </c>
      <c r="H659" s="67" t="s">
        <v>46</v>
      </c>
      <c r="I659" s="67" t="s">
        <v>705</v>
      </c>
      <c r="J659" s="67" t="s">
        <v>200</v>
      </c>
      <c r="K659" s="67">
        <v>15.1</v>
      </c>
      <c r="L659" s="299">
        <f t="shared" si="35"/>
        <v>0</v>
      </c>
      <c r="M659" s="221" t="s">
        <v>631</v>
      </c>
      <c r="N659" s="220">
        <f>IF(OR(M659="nio",M659="eigen dienst"),0,IF(M659&gt;0,M659*K659/O659,0))*VLOOKUP(B659,'2-Kosten per locatie'!$A$14:$C$33,3,FALSE)</f>
        <v>0</v>
      </c>
      <c r="O659" s="300">
        <f>IF(OR(M659="nio",M659="eigen dienst"),0,IF(M659&gt;0,VLOOKUP(H659,'3-Productie normen'!A:J,VLOOKUP(M659,'3-Productie normen'!$B$34:$C$35,2,FALSE),FALSE)))</f>
        <v>0</v>
      </c>
      <c r="P659" s="301" t="str">
        <f>VLOOKUP(H659,'3-Productie normen'!A:L,12,FALSE)</f>
        <v>V</v>
      </c>
      <c r="Q659" s="301"/>
      <c r="S659" s="302">
        <f t="shared" si="36"/>
        <v>0</v>
      </c>
    </row>
    <row r="660" spans="1:19" ht="14.15" customHeight="1">
      <c r="A660" s="71">
        <v>660</v>
      </c>
      <c r="B660" s="67" t="s">
        <v>206</v>
      </c>
      <c r="C660" s="467" t="s">
        <v>617</v>
      </c>
      <c r="D660" s="467" t="s">
        <v>720</v>
      </c>
      <c r="E660" s="67" t="s">
        <v>714</v>
      </c>
      <c r="F660" s="67" t="s">
        <v>402</v>
      </c>
      <c r="G660" s="67" t="s">
        <v>550</v>
      </c>
      <c r="H660" s="67" t="s">
        <v>46</v>
      </c>
      <c r="I660" s="67" t="s">
        <v>705</v>
      </c>
      <c r="J660" s="67" t="s">
        <v>200</v>
      </c>
      <c r="K660" s="67">
        <v>15.1</v>
      </c>
      <c r="L660" s="299">
        <f t="shared" si="35"/>
        <v>0</v>
      </c>
      <c r="M660" s="221" t="s">
        <v>631</v>
      </c>
      <c r="N660" s="220">
        <f>IF(OR(M660="nio",M660="eigen dienst"),0,IF(M660&gt;0,M660*K660/O660,0))*VLOOKUP(B660,'2-Kosten per locatie'!$A$14:$C$33,3,FALSE)</f>
        <v>0</v>
      </c>
      <c r="O660" s="300">
        <f>IF(OR(M660="nio",M660="eigen dienst"),0,IF(M660&gt;0,VLOOKUP(H660,'3-Productie normen'!A:J,VLOOKUP(M660,'3-Productie normen'!$B$34:$C$35,2,FALSE),FALSE)))</f>
        <v>0</v>
      </c>
      <c r="P660" s="301" t="str">
        <f>VLOOKUP(H660,'3-Productie normen'!A:L,12,FALSE)</f>
        <v>V</v>
      </c>
      <c r="Q660" s="301"/>
      <c r="S660" s="302">
        <f t="shared" si="36"/>
        <v>0</v>
      </c>
    </row>
    <row r="661" spans="1:19" ht="14.15" customHeight="1">
      <c r="A661" s="71">
        <v>661</v>
      </c>
      <c r="B661" s="67" t="s">
        <v>206</v>
      </c>
      <c r="C661" s="467" t="s">
        <v>617</v>
      </c>
      <c r="D661" s="467" t="s">
        <v>720</v>
      </c>
      <c r="E661" s="67" t="s">
        <v>714</v>
      </c>
      <c r="F661" s="67" t="s">
        <v>403</v>
      </c>
      <c r="G661" s="67" t="s">
        <v>550</v>
      </c>
      <c r="H661" s="67" t="s">
        <v>46</v>
      </c>
      <c r="I661" s="67" t="s">
        <v>705</v>
      </c>
      <c r="J661" s="67" t="s">
        <v>200</v>
      </c>
      <c r="K661" s="67">
        <v>17.8</v>
      </c>
      <c r="L661" s="299">
        <f t="shared" si="35"/>
        <v>0</v>
      </c>
      <c r="M661" s="221" t="s">
        <v>631</v>
      </c>
      <c r="N661" s="220">
        <f>IF(OR(M661="nio",M661="eigen dienst"),0,IF(M661&gt;0,M661*K661/O661,0))*VLOOKUP(B661,'2-Kosten per locatie'!$A$14:$C$33,3,FALSE)</f>
        <v>0</v>
      </c>
      <c r="O661" s="300">
        <f>IF(OR(M661="nio",M661="eigen dienst"),0,IF(M661&gt;0,VLOOKUP(H661,'3-Productie normen'!A:J,VLOOKUP(M661,'3-Productie normen'!$B$34:$C$35,2,FALSE),FALSE)))</f>
        <v>0</v>
      </c>
      <c r="P661" s="301" t="str">
        <f>VLOOKUP(H661,'3-Productie normen'!A:L,12,FALSE)</f>
        <v>V</v>
      </c>
      <c r="Q661" s="301"/>
      <c r="S661" s="302">
        <f t="shared" si="36"/>
        <v>0</v>
      </c>
    </row>
    <row r="662" spans="1:19" ht="14.15" customHeight="1">
      <c r="A662" s="71">
        <v>662</v>
      </c>
      <c r="B662" s="67" t="s">
        <v>206</v>
      </c>
      <c r="C662" s="467" t="s">
        <v>617</v>
      </c>
      <c r="D662" s="467" t="s">
        <v>720</v>
      </c>
      <c r="E662" s="67" t="s">
        <v>714</v>
      </c>
      <c r="F662" s="67" t="s">
        <v>404</v>
      </c>
      <c r="G662" s="67" t="s">
        <v>515</v>
      </c>
      <c r="H662" s="67" t="s">
        <v>609</v>
      </c>
      <c r="I662" s="67" t="s">
        <v>705</v>
      </c>
      <c r="J662" s="67" t="s">
        <v>200</v>
      </c>
      <c r="K662" s="67">
        <v>50.9</v>
      </c>
      <c r="L662" s="299">
        <f t="shared" si="35"/>
        <v>0</v>
      </c>
      <c r="M662" s="221" t="s">
        <v>631</v>
      </c>
      <c r="N662" s="220">
        <f>IF(OR(M662="nio",M662="eigen dienst"),0,IF(M662&gt;0,M662*K662/O662,0))*VLOOKUP(B662,'2-Kosten per locatie'!$A$14:$C$33,3,FALSE)</f>
        <v>0</v>
      </c>
      <c r="O662" s="300">
        <f>IF(OR(M662="nio",M662="eigen dienst"),0,IF(M662&gt;0,VLOOKUP(H662,'3-Productie normen'!A:J,VLOOKUP(M662,'3-Productie normen'!$B$34:$C$35,2,FALSE),FALSE)))</f>
        <v>0</v>
      </c>
      <c r="P662" s="301" t="str">
        <f>VLOOKUP(H662,'3-Productie normen'!A:L,12,FALSE)</f>
        <v>L</v>
      </c>
      <c r="Q662" s="301"/>
      <c r="S662" s="302">
        <f t="shared" si="36"/>
        <v>0</v>
      </c>
    </row>
    <row r="663" spans="1:19" ht="14.15" customHeight="1">
      <c r="A663" s="71">
        <v>663</v>
      </c>
      <c r="B663" s="67" t="s">
        <v>206</v>
      </c>
      <c r="C663" s="467" t="s">
        <v>617</v>
      </c>
      <c r="D663" s="467" t="s">
        <v>720</v>
      </c>
      <c r="E663" s="67" t="s">
        <v>714</v>
      </c>
      <c r="F663" s="67" t="s">
        <v>405</v>
      </c>
      <c r="G663" s="67" t="s">
        <v>515</v>
      </c>
      <c r="H663" s="67" t="s">
        <v>609</v>
      </c>
      <c r="I663" s="67" t="s">
        <v>705</v>
      </c>
      <c r="J663" s="67" t="s">
        <v>200</v>
      </c>
      <c r="K663" s="67">
        <v>51.8</v>
      </c>
      <c r="L663" s="299">
        <f t="shared" si="35"/>
        <v>0</v>
      </c>
      <c r="M663" s="221" t="s">
        <v>631</v>
      </c>
      <c r="N663" s="220">
        <f>IF(OR(M663="nio",M663="eigen dienst"),0,IF(M663&gt;0,M663*K663/O663,0))*VLOOKUP(B663,'2-Kosten per locatie'!$A$14:$C$33,3,FALSE)</f>
        <v>0</v>
      </c>
      <c r="O663" s="300">
        <f>IF(OR(M663="nio",M663="eigen dienst"),0,IF(M663&gt;0,VLOOKUP(H663,'3-Productie normen'!A:J,VLOOKUP(M663,'3-Productie normen'!$B$34:$C$35,2,FALSE),FALSE)))</f>
        <v>0</v>
      </c>
      <c r="P663" s="301" t="str">
        <f>VLOOKUP(H663,'3-Productie normen'!A:L,12,FALSE)</f>
        <v>L</v>
      </c>
      <c r="Q663" s="301"/>
      <c r="S663" s="302">
        <f t="shared" si="36"/>
        <v>0</v>
      </c>
    </row>
    <row r="664" spans="1:19" ht="14.15" customHeight="1">
      <c r="A664" s="71">
        <v>664</v>
      </c>
      <c r="B664" s="67" t="s">
        <v>206</v>
      </c>
      <c r="C664" s="467" t="s">
        <v>617</v>
      </c>
      <c r="D664" s="467" t="s">
        <v>720</v>
      </c>
      <c r="E664" s="67" t="s">
        <v>714</v>
      </c>
      <c r="F664" s="67" t="s">
        <v>406</v>
      </c>
      <c r="G664" s="67" t="s">
        <v>515</v>
      </c>
      <c r="H664" s="67" t="s">
        <v>609</v>
      </c>
      <c r="I664" s="67" t="s">
        <v>705</v>
      </c>
      <c r="J664" s="67" t="s">
        <v>200</v>
      </c>
      <c r="K664" s="67">
        <v>49.8</v>
      </c>
      <c r="L664" s="299">
        <f t="shared" si="35"/>
        <v>0</v>
      </c>
      <c r="M664" s="221" t="s">
        <v>631</v>
      </c>
      <c r="N664" s="220">
        <f>IF(OR(M664="nio",M664="eigen dienst"),0,IF(M664&gt;0,M664*K664/O664,0))*VLOOKUP(B664,'2-Kosten per locatie'!$A$14:$C$33,3,FALSE)</f>
        <v>0</v>
      </c>
      <c r="O664" s="300">
        <f>IF(OR(M664="nio",M664="eigen dienst"),0,IF(M664&gt;0,VLOOKUP(H664,'3-Productie normen'!A:J,VLOOKUP(M664,'3-Productie normen'!$B$34:$C$35,2,FALSE),FALSE)))</f>
        <v>0</v>
      </c>
      <c r="P664" s="301" t="str">
        <f>VLOOKUP(H664,'3-Productie normen'!A:L,12,FALSE)</f>
        <v>L</v>
      </c>
      <c r="Q664" s="301"/>
      <c r="S664" s="302">
        <f t="shared" si="36"/>
        <v>0</v>
      </c>
    </row>
    <row r="665" spans="1:19" ht="14.15" customHeight="1">
      <c r="A665" s="71">
        <v>665</v>
      </c>
      <c r="B665" s="67" t="s">
        <v>206</v>
      </c>
      <c r="C665" s="467" t="s">
        <v>617</v>
      </c>
      <c r="D665" s="467" t="s">
        <v>720</v>
      </c>
      <c r="E665" s="67" t="s">
        <v>714</v>
      </c>
      <c r="F665" s="67" t="s">
        <v>407</v>
      </c>
      <c r="G665" s="67" t="s">
        <v>550</v>
      </c>
      <c r="H665" s="67" t="s">
        <v>46</v>
      </c>
      <c r="I665" s="67" t="s">
        <v>705</v>
      </c>
      <c r="J665" s="67" t="s">
        <v>200</v>
      </c>
      <c r="K665" s="67">
        <v>4.7</v>
      </c>
      <c r="L665" s="299">
        <f t="shared" si="35"/>
        <v>0</v>
      </c>
      <c r="M665" s="221" t="s">
        <v>631</v>
      </c>
      <c r="N665" s="220">
        <f>IF(OR(M665="nio",M665="eigen dienst"),0,IF(M665&gt;0,M665*K665/O665,0))*VLOOKUP(B665,'2-Kosten per locatie'!$A$14:$C$33,3,FALSE)</f>
        <v>0</v>
      </c>
      <c r="O665" s="300">
        <f>IF(OR(M665="nio",M665="eigen dienst"),0,IF(M665&gt;0,VLOOKUP(H665,'3-Productie normen'!A:J,VLOOKUP(M665,'3-Productie normen'!$B$34:$C$35,2,FALSE),FALSE)))</f>
        <v>0</v>
      </c>
      <c r="P665" s="301" t="str">
        <f>VLOOKUP(H665,'3-Productie normen'!A:L,12,FALSE)</f>
        <v>V</v>
      </c>
      <c r="Q665" s="301"/>
      <c r="S665" s="302">
        <f t="shared" si="36"/>
        <v>0</v>
      </c>
    </row>
    <row r="666" spans="1:19" ht="14.15" customHeight="1">
      <c r="A666" s="71">
        <v>666</v>
      </c>
      <c r="B666" s="67" t="s">
        <v>206</v>
      </c>
      <c r="C666" s="467" t="s">
        <v>617</v>
      </c>
      <c r="D666" s="467" t="s">
        <v>720</v>
      </c>
      <c r="E666" s="67" t="s">
        <v>714</v>
      </c>
      <c r="F666" s="67" t="s">
        <v>408</v>
      </c>
      <c r="G666" s="67" t="s">
        <v>514</v>
      </c>
      <c r="H666" s="67" t="s">
        <v>37</v>
      </c>
      <c r="I666" s="67" t="s">
        <v>601</v>
      </c>
      <c r="J666" s="67" t="s">
        <v>179</v>
      </c>
      <c r="K666" s="67">
        <v>5.6</v>
      </c>
      <c r="L666" s="299">
        <f t="shared" si="35"/>
        <v>0</v>
      </c>
      <c r="M666" s="221" t="s">
        <v>631</v>
      </c>
      <c r="N666" s="220">
        <f>IF(OR(M666="nio",M666="eigen dienst"),0,IF(M666&gt;0,M666*K666/O666,0))*VLOOKUP(B666,'2-Kosten per locatie'!$A$14:$C$33,3,FALSE)</f>
        <v>0</v>
      </c>
      <c r="O666" s="300">
        <f>IF(OR(M666="nio",M666="eigen dienst"),0,IF(M666&gt;0,VLOOKUP(H666,'3-Productie normen'!A:J,VLOOKUP(M666,'3-Productie normen'!$B$34:$C$35,2,FALSE),FALSE)))</f>
        <v>0</v>
      </c>
      <c r="P666" s="301" t="str">
        <f>VLOOKUP(H666,'3-Productie normen'!A:L,12,FALSE)</f>
        <v>S</v>
      </c>
      <c r="Q666" s="301"/>
      <c r="S666" s="302">
        <f t="shared" si="36"/>
        <v>0</v>
      </c>
    </row>
    <row r="667" spans="1:19" ht="14.15" customHeight="1">
      <c r="A667" s="71">
        <v>667</v>
      </c>
      <c r="B667" s="67" t="s">
        <v>206</v>
      </c>
      <c r="C667" s="467" t="s">
        <v>617</v>
      </c>
      <c r="D667" s="467" t="s">
        <v>720</v>
      </c>
      <c r="E667" s="67" t="s">
        <v>714</v>
      </c>
      <c r="F667" s="67" t="s">
        <v>409</v>
      </c>
      <c r="G667" s="67" t="s">
        <v>514</v>
      </c>
      <c r="H667" s="67" t="s">
        <v>37</v>
      </c>
      <c r="I667" s="67" t="s">
        <v>601</v>
      </c>
      <c r="J667" s="67" t="s">
        <v>179</v>
      </c>
      <c r="K667" s="67">
        <v>5</v>
      </c>
      <c r="L667" s="299">
        <f t="shared" si="35"/>
        <v>0</v>
      </c>
      <c r="M667" s="221" t="s">
        <v>631</v>
      </c>
      <c r="N667" s="220">
        <f>IF(OR(M667="nio",M667="eigen dienst"),0,IF(M667&gt;0,M667*K667/O667,0))*VLOOKUP(B667,'2-Kosten per locatie'!$A$14:$C$33,3,FALSE)</f>
        <v>0</v>
      </c>
      <c r="O667" s="300">
        <f>IF(OR(M667="nio",M667="eigen dienst"),0,IF(M667&gt;0,VLOOKUP(H667,'3-Productie normen'!A:J,VLOOKUP(M667,'3-Productie normen'!$B$34:$C$35,2,FALSE),FALSE)))</f>
        <v>0</v>
      </c>
      <c r="P667" s="301" t="str">
        <f>VLOOKUP(H667,'3-Productie normen'!A:L,12,FALSE)</f>
        <v>S</v>
      </c>
      <c r="Q667" s="301"/>
      <c r="S667" s="302">
        <f t="shared" si="36"/>
        <v>0</v>
      </c>
    </row>
    <row r="668" spans="1:19" ht="14.15" customHeight="1">
      <c r="A668" s="71">
        <v>668</v>
      </c>
      <c r="B668" s="67" t="s">
        <v>206</v>
      </c>
      <c r="C668" s="467" t="s">
        <v>617</v>
      </c>
      <c r="D668" s="467" t="s">
        <v>720</v>
      </c>
      <c r="E668" s="67" t="s">
        <v>714</v>
      </c>
      <c r="F668" s="67" t="s">
        <v>410</v>
      </c>
      <c r="G668" s="67" t="s">
        <v>512</v>
      </c>
      <c r="H668" s="67" t="s">
        <v>39</v>
      </c>
      <c r="I668" s="67" t="s">
        <v>705</v>
      </c>
      <c r="J668" s="67" t="s">
        <v>200</v>
      </c>
      <c r="K668" s="67">
        <v>29.8</v>
      </c>
      <c r="L668" s="299">
        <f t="shared" si="35"/>
        <v>0</v>
      </c>
      <c r="M668" s="221" t="s">
        <v>631</v>
      </c>
      <c r="N668" s="220">
        <f>IF(OR(M668="nio",M668="eigen dienst"),0,IF(M668&gt;0,M668*K668/O668,0))*VLOOKUP(B668,'2-Kosten per locatie'!$A$14:$C$33,3,FALSE)</f>
        <v>0</v>
      </c>
      <c r="O668" s="300">
        <f>IF(OR(M668="nio",M668="eigen dienst"),0,IF(M668&gt;0,VLOOKUP(H668,'3-Productie normen'!A:J,VLOOKUP(M668,'3-Productie normen'!$B$34:$C$35,2,FALSE),FALSE)))</f>
        <v>0</v>
      </c>
      <c r="P668" s="301" t="str">
        <f>VLOOKUP(H668,'3-Productie normen'!A:L,12,FALSE)</f>
        <v>V</v>
      </c>
      <c r="Q668" s="301"/>
      <c r="S668" s="302">
        <f t="shared" si="36"/>
        <v>0</v>
      </c>
    </row>
    <row r="669" spans="1:19" ht="14.15" customHeight="1">
      <c r="A669" s="71">
        <v>669</v>
      </c>
      <c r="B669" s="67" t="s">
        <v>206</v>
      </c>
      <c r="C669" s="467" t="s">
        <v>617</v>
      </c>
      <c r="D669" s="467" t="s">
        <v>720</v>
      </c>
      <c r="E669" s="67" t="s">
        <v>714</v>
      </c>
      <c r="F669" s="67" t="s">
        <v>410</v>
      </c>
      <c r="G669" s="67" t="s">
        <v>512</v>
      </c>
      <c r="H669" s="67" t="s">
        <v>39</v>
      </c>
      <c r="I669" s="67" t="s">
        <v>705</v>
      </c>
      <c r="J669" s="67" t="s">
        <v>200</v>
      </c>
      <c r="K669" s="67">
        <v>20</v>
      </c>
      <c r="L669" s="299">
        <f t="shared" si="35"/>
        <v>0</v>
      </c>
      <c r="M669" s="221" t="s">
        <v>631</v>
      </c>
      <c r="N669" s="220">
        <f>IF(OR(M669="nio",M669="eigen dienst"),0,IF(M669&gt;0,M669*K669/O669,0))*VLOOKUP(B669,'2-Kosten per locatie'!$A$14:$C$33,3,FALSE)</f>
        <v>0</v>
      </c>
      <c r="O669" s="300">
        <f>IF(OR(M669="nio",M669="eigen dienst"),0,IF(M669&gt;0,VLOOKUP(H669,'3-Productie normen'!A:J,VLOOKUP(M669,'3-Productie normen'!$B$34:$C$35,2,FALSE),FALSE)))</f>
        <v>0</v>
      </c>
      <c r="P669" s="301" t="str">
        <f>VLOOKUP(H669,'3-Productie normen'!A:L,12,FALSE)</f>
        <v>V</v>
      </c>
      <c r="Q669" s="301"/>
      <c r="S669" s="302">
        <f t="shared" si="36"/>
        <v>0</v>
      </c>
    </row>
    <row r="670" spans="1:19" ht="14.15" customHeight="1">
      <c r="A670" s="71">
        <v>670</v>
      </c>
      <c r="B670" s="67" t="s">
        <v>206</v>
      </c>
      <c r="C670" s="467" t="s">
        <v>617</v>
      </c>
      <c r="D670" s="467" t="s">
        <v>720</v>
      </c>
      <c r="E670" s="67" t="s">
        <v>714</v>
      </c>
      <c r="F670" s="67" t="s">
        <v>411</v>
      </c>
      <c r="G670" s="67" t="s">
        <v>552</v>
      </c>
      <c r="H670" s="67" t="s">
        <v>46</v>
      </c>
      <c r="I670" s="67" t="s">
        <v>705</v>
      </c>
      <c r="J670" s="67" t="s">
        <v>200</v>
      </c>
      <c r="K670" s="67">
        <v>8.6999999999999993</v>
      </c>
      <c r="L670" s="299">
        <f t="shared" si="35"/>
        <v>0</v>
      </c>
      <c r="M670" s="221" t="s">
        <v>631</v>
      </c>
      <c r="N670" s="220">
        <f>IF(OR(M670="nio",M670="eigen dienst"),0,IF(M670&gt;0,M670*K670/O670,0))*VLOOKUP(B670,'2-Kosten per locatie'!$A$14:$C$33,3,FALSE)</f>
        <v>0</v>
      </c>
      <c r="O670" s="300">
        <f>IF(OR(M670="nio",M670="eigen dienst"),0,IF(M670&gt;0,VLOOKUP(H670,'3-Productie normen'!A:J,VLOOKUP(M670,'3-Productie normen'!$B$34:$C$35,2,FALSE),FALSE)))</f>
        <v>0</v>
      </c>
      <c r="P670" s="301" t="str">
        <f>VLOOKUP(H670,'3-Productie normen'!A:L,12,FALSE)</f>
        <v>V</v>
      </c>
      <c r="Q670" s="301"/>
      <c r="S670" s="302">
        <f t="shared" si="36"/>
        <v>0</v>
      </c>
    </row>
    <row r="671" spans="1:19" ht="14.15" customHeight="1">
      <c r="A671" s="71">
        <v>671</v>
      </c>
      <c r="B671" s="67" t="s">
        <v>206</v>
      </c>
      <c r="C671" s="467" t="s">
        <v>617</v>
      </c>
      <c r="D671" s="467" t="s">
        <v>720</v>
      </c>
      <c r="E671" s="67" t="s">
        <v>714</v>
      </c>
      <c r="F671" s="67" t="s">
        <v>412</v>
      </c>
      <c r="G671" s="67" t="s">
        <v>540</v>
      </c>
      <c r="H671" s="67" t="s">
        <v>35</v>
      </c>
      <c r="I671" s="67" t="s">
        <v>705</v>
      </c>
      <c r="J671" s="67" t="s">
        <v>200</v>
      </c>
      <c r="K671" s="67">
        <v>8.9</v>
      </c>
      <c r="L671" s="299">
        <f t="shared" si="35"/>
        <v>0</v>
      </c>
      <c r="M671" s="221" t="s">
        <v>631</v>
      </c>
      <c r="N671" s="220">
        <f>IF(OR(M671="nio",M671="eigen dienst"),0,IF(M671&gt;0,M671*K671/O671,0))*VLOOKUP(B671,'2-Kosten per locatie'!$A$14:$C$33,3,FALSE)</f>
        <v>0</v>
      </c>
      <c r="O671" s="300">
        <f>IF(OR(M671="nio",M671="eigen dienst"),0,IF(M671&gt;0,VLOOKUP(H671,'3-Productie normen'!A:J,VLOOKUP(M671,'3-Productie normen'!$B$34:$C$35,2,FALSE),FALSE)))</f>
        <v>0</v>
      </c>
      <c r="P671" s="301" t="str">
        <f>VLOOKUP(H671,'3-Productie normen'!A:L,12,FALSE)</f>
        <v>B</v>
      </c>
      <c r="Q671" s="301"/>
      <c r="S671" s="302">
        <f t="shared" si="36"/>
        <v>0</v>
      </c>
    </row>
    <row r="672" spans="1:19" ht="14.15" customHeight="1">
      <c r="A672" s="71">
        <v>672</v>
      </c>
      <c r="B672" s="67" t="s">
        <v>206</v>
      </c>
      <c r="C672" s="467" t="s">
        <v>617</v>
      </c>
      <c r="D672" s="467" t="s">
        <v>720</v>
      </c>
      <c r="E672" s="67" t="s">
        <v>714</v>
      </c>
      <c r="F672" s="67" t="s">
        <v>413</v>
      </c>
      <c r="G672" s="67" t="s">
        <v>553</v>
      </c>
      <c r="H672" s="67" t="s">
        <v>35</v>
      </c>
      <c r="I672" s="67" t="s">
        <v>705</v>
      </c>
      <c r="J672" s="67" t="s">
        <v>200</v>
      </c>
      <c r="K672" s="67">
        <v>6.9</v>
      </c>
      <c r="L672" s="299">
        <f t="shared" si="35"/>
        <v>0</v>
      </c>
      <c r="M672" s="221" t="s">
        <v>631</v>
      </c>
      <c r="N672" s="220">
        <f>IF(OR(M672="nio",M672="eigen dienst"),0,IF(M672&gt;0,M672*K672/O672,0))*VLOOKUP(B672,'2-Kosten per locatie'!$A$14:$C$33,3,FALSE)</f>
        <v>0</v>
      </c>
      <c r="O672" s="300">
        <f>IF(OR(M672="nio",M672="eigen dienst"),0,IF(M672&gt;0,VLOOKUP(H672,'3-Productie normen'!A:J,VLOOKUP(M672,'3-Productie normen'!$B$34:$C$35,2,FALSE),FALSE)))</f>
        <v>0</v>
      </c>
      <c r="P672" s="301" t="str">
        <f>VLOOKUP(H672,'3-Productie normen'!A:L,12,FALSE)</f>
        <v>B</v>
      </c>
      <c r="Q672" s="301"/>
      <c r="S672" s="302">
        <f t="shared" si="36"/>
        <v>0</v>
      </c>
    </row>
    <row r="673" spans="1:19" ht="14.15" customHeight="1">
      <c r="A673" s="71">
        <v>673</v>
      </c>
      <c r="B673" s="67" t="s">
        <v>206</v>
      </c>
      <c r="C673" s="467" t="s">
        <v>617</v>
      </c>
      <c r="D673" s="467" t="s">
        <v>720</v>
      </c>
      <c r="E673" s="67" t="s">
        <v>714</v>
      </c>
      <c r="F673" s="67" t="s">
        <v>414</v>
      </c>
      <c r="G673" s="67" t="s">
        <v>549</v>
      </c>
      <c r="H673" s="67" t="s">
        <v>35</v>
      </c>
      <c r="I673" s="67" t="s">
        <v>705</v>
      </c>
      <c r="J673" s="67" t="s">
        <v>200</v>
      </c>
      <c r="K673" s="67">
        <v>5.3</v>
      </c>
      <c r="L673" s="299">
        <f t="shared" si="35"/>
        <v>0</v>
      </c>
      <c r="M673" s="221" t="s">
        <v>631</v>
      </c>
      <c r="N673" s="220">
        <f>IF(OR(M673="nio",M673="eigen dienst"),0,IF(M673&gt;0,M673*K673/O673,0))*VLOOKUP(B673,'2-Kosten per locatie'!$A$14:$C$33,3,FALSE)</f>
        <v>0</v>
      </c>
      <c r="O673" s="300">
        <f>IF(OR(M673="nio",M673="eigen dienst"),0,IF(M673&gt;0,VLOOKUP(H673,'3-Productie normen'!A:J,VLOOKUP(M673,'3-Productie normen'!$B$34:$C$35,2,FALSE),FALSE)))</f>
        <v>0</v>
      </c>
      <c r="P673" s="301" t="str">
        <f>VLOOKUP(H673,'3-Productie normen'!A:L,12,FALSE)</f>
        <v>B</v>
      </c>
      <c r="Q673" s="301"/>
      <c r="S673" s="302">
        <f t="shared" si="36"/>
        <v>0</v>
      </c>
    </row>
    <row r="674" spans="1:19" ht="14.15" customHeight="1">
      <c r="A674" s="71">
        <v>674</v>
      </c>
      <c r="B674" s="67" t="s">
        <v>206</v>
      </c>
      <c r="C674" s="467" t="s">
        <v>617</v>
      </c>
      <c r="D674" s="467" t="s">
        <v>720</v>
      </c>
      <c r="E674" s="67" t="s">
        <v>714</v>
      </c>
      <c r="F674" s="67" t="s">
        <v>415</v>
      </c>
      <c r="G674" s="67" t="s">
        <v>49</v>
      </c>
      <c r="H674" s="67" t="s">
        <v>49</v>
      </c>
      <c r="I674" s="67" t="s">
        <v>705</v>
      </c>
      <c r="J674" s="67" t="s">
        <v>200</v>
      </c>
      <c r="K674" s="67">
        <v>1.2</v>
      </c>
      <c r="L674" s="299">
        <f t="shared" si="35"/>
        <v>0</v>
      </c>
      <c r="M674" s="221" t="s">
        <v>631</v>
      </c>
      <c r="N674" s="220">
        <f>IF(OR(M674="nio",M674="eigen dienst"),0,IF(M674&gt;0,M674*K674/O674,0))*VLOOKUP(B674,'2-Kosten per locatie'!$A$14:$C$33,3,FALSE)</f>
        <v>0</v>
      </c>
      <c r="O674" s="300">
        <f>IF(OR(M674="nio",M674="eigen dienst"),0,IF(M674&gt;0,VLOOKUP(H674,'3-Productie normen'!A:J,VLOOKUP(M674,'3-Productie normen'!$B$34:$C$35,2,FALSE),FALSE)))</f>
        <v>0</v>
      </c>
      <c r="P674" s="301" t="str">
        <f>VLOOKUP(H674,'3-Productie normen'!A:L,12,FALSE)</f>
        <v>V</v>
      </c>
      <c r="Q674" s="301"/>
      <c r="S674" s="302">
        <f t="shared" si="36"/>
        <v>0</v>
      </c>
    </row>
    <row r="675" spans="1:19" ht="14.15" customHeight="1">
      <c r="A675" s="71">
        <v>675</v>
      </c>
      <c r="B675" s="67" t="s">
        <v>206</v>
      </c>
      <c r="C675" s="467" t="s">
        <v>617</v>
      </c>
      <c r="D675" s="467" t="s">
        <v>720</v>
      </c>
      <c r="E675" s="67" t="s">
        <v>714</v>
      </c>
      <c r="F675" s="67" t="s">
        <v>416</v>
      </c>
      <c r="G675" s="67" t="s">
        <v>556</v>
      </c>
      <c r="H675" s="67" t="s">
        <v>48</v>
      </c>
      <c r="I675" s="67" t="s">
        <v>72</v>
      </c>
      <c r="J675" s="67" t="s">
        <v>200</v>
      </c>
      <c r="K675" s="67"/>
      <c r="L675" s="299">
        <f t="shared" si="35"/>
        <v>0</v>
      </c>
      <c r="M675" s="221" t="s">
        <v>631</v>
      </c>
      <c r="N675" s="220">
        <f>IF(OR(M675="nio",M675="eigen dienst"),0,IF(M675&gt;0,M675*K675/O675,0))*VLOOKUP(B675,'2-Kosten per locatie'!$A$14:$C$33,3,FALSE)</f>
        <v>0</v>
      </c>
      <c r="O675" s="300">
        <f>IF(OR(M675="nio",M675="eigen dienst"),0,IF(M675&gt;0,VLOOKUP(H675,'3-Productie normen'!A:J,VLOOKUP(M675,'3-Productie normen'!$B$34:$C$35,2,FALSE),FALSE)))</f>
        <v>0</v>
      </c>
      <c r="P675" s="301" t="str">
        <f>VLOOKUP(H675,'3-Productie normen'!A:L,12,FALSE)</f>
        <v>V</v>
      </c>
      <c r="Q675" s="301"/>
      <c r="S675" s="302">
        <f t="shared" si="36"/>
        <v>0</v>
      </c>
    </row>
    <row r="676" spans="1:19" ht="14.15" customHeight="1">
      <c r="A676" s="71">
        <v>676</v>
      </c>
      <c r="B676" s="67" t="s">
        <v>206</v>
      </c>
      <c r="C676" s="467" t="s">
        <v>617</v>
      </c>
      <c r="D676" s="467" t="s">
        <v>720</v>
      </c>
      <c r="E676" s="67" t="s">
        <v>714</v>
      </c>
      <c r="F676" s="67" t="s">
        <v>417</v>
      </c>
      <c r="G676" s="67" t="s">
        <v>514</v>
      </c>
      <c r="H676" s="67" t="s">
        <v>37</v>
      </c>
      <c r="I676" s="67" t="s">
        <v>601</v>
      </c>
      <c r="J676" s="67" t="s">
        <v>179</v>
      </c>
      <c r="K676" s="67">
        <v>9.1999999999999993</v>
      </c>
      <c r="L676" s="299">
        <f t="shared" si="35"/>
        <v>0</v>
      </c>
      <c r="M676" s="221" t="s">
        <v>631</v>
      </c>
      <c r="N676" s="220">
        <f>IF(OR(M676="nio",M676="eigen dienst"),0,IF(M676&gt;0,M676*K676/O676,0))*VLOOKUP(B676,'2-Kosten per locatie'!$A$14:$C$33,3,FALSE)</f>
        <v>0</v>
      </c>
      <c r="O676" s="300">
        <f>IF(OR(M676="nio",M676="eigen dienst"),0,IF(M676&gt;0,VLOOKUP(H676,'3-Productie normen'!A:J,VLOOKUP(M676,'3-Productie normen'!$B$34:$C$35,2,FALSE),FALSE)))</f>
        <v>0</v>
      </c>
      <c r="P676" s="301" t="str">
        <f>VLOOKUP(H676,'3-Productie normen'!A:L,12,FALSE)</f>
        <v>S</v>
      </c>
      <c r="Q676" s="301"/>
      <c r="S676" s="302">
        <f t="shared" si="36"/>
        <v>0</v>
      </c>
    </row>
    <row r="677" spans="1:19" ht="14.15" customHeight="1">
      <c r="A677" s="71">
        <v>677</v>
      </c>
      <c r="B677" s="67" t="s">
        <v>206</v>
      </c>
      <c r="C677" s="467" t="s">
        <v>617</v>
      </c>
      <c r="D677" s="467" t="s">
        <v>720</v>
      </c>
      <c r="E677" s="67" t="s">
        <v>714</v>
      </c>
      <c r="F677" s="67" t="s">
        <v>418</v>
      </c>
      <c r="G677" s="67" t="s">
        <v>553</v>
      </c>
      <c r="H677" s="67" t="s">
        <v>35</v>
      </c>
      <c r="I677" s="67" t="s">
        <v>705</v>
      </c>
      <c r="J677" s="67" t="s">
        <v>200</v>
      </c>
      <c r="K677" s="67">
        <v>6.1</v>
      </c>
      <c r="L677" s="299">
        <f t="shared" si="35"/>
        <v>0</v>
      </c>
      <c r="M677" s="221" t="s">
        <v>631</v>
      </c>
      <c r="N677" s="220">
        <f>IF(OR(M677="nio",M677="eigen dienst"),0,IF(M677&gt;0,M677*K677/O677,0))*VLOOKUP(B677,'2-Kosten per locatie'!$A$14:$C$33,3,FALSE)</f>
        <v>0</v>
      </c>
      <c r="O677" s="300">
        <f>IF(OR(M677="nio",M677="eigen dienst"),0,IF(M677&gt;0,VLOOKUP(H677,'3-Productie normen'!A:J,VLOOKUP(M677,'3-Productie normen'!$B$34:$C$35,2,FALSE),FALSE)))</f>
        <v>0</v>
      </c>
      <c r="P677" s="301" t="str">
        <f>VLOOKUP(H677,'3-Productie normen'!A:L,12,FALSE)</f>
        <v>B</v>
      </c>
      <c r="Q677" s="301"/>
      <c r="S677" s="302">
        <f t="shared" si="36"/>
        <v>0</v>
      </c>
    </row>
    <row r="678" spans="1:19" ht="14.15" customHeight="1">
      <c r="A678" s="71">
        <v>678</v>
      </c>
      <c r="B678" s="67" t="s">
        <v>206</v>
      </c>
      <c r="C678" s="467" t="s">
        <v>617</v>
      </c>
      <c r="D678" s="467" t="s">
        <v>720</v>
      </c>
      <c r="E678" s="67" t="s">
        <v>714</v>
      </c>
      <c r="F678" s="67" t="s">
        <v>419</v>
      </c>
      <c r="G678" s="67" t="s">
        <v>554</v>
      </c>
      <c r="H678" s="67" t="s">
        <v>46</v>
      </c>
      <c r="I678" s="67" t="s">
        <v>705</v>
      </c>
      <c r="J678" s="67" t="s">
        <v>200</v>
      </c>
      <c r="K678" s="67">
        <v>6.4</v>
      </c>
      <c r="L678" s="299">
        <f t="shared" si="35"/>
        <v>0</v>
      </c>
      <c r="M678" s="221" t="s">
        <v>631</v>
      </c>
      <c r="N678" s="220">
        <f>IF(OR(M678="nio",M678="eigen dienst"),0,IF(M678&gt;0,M678*K678/O678,0))*VLOOKUP(B678,'2-Kosten per locatie'!$A$14:$C$33,3,FALSE)</f>
        <v>0</v>
      </c>
      <c r="O678" s="300">
        <f>IF(OR(M678="nio",M678="eigen dienst"),0,IF(M678&gt;0,VLOOKUP(H678,'3-Productie normen'!A:J,VLOOKUP(M678,'3-Productie normen'!$B$34:$C$35,2,FALSE),FALSE)))</f>
        <v>0</v>
      </c>
      <c r="P678" s="301" t="str">
        <f>VLOOKUP(H678,'3-Productie normen'!A:L,12,FALSE)</f>
        <v>V</v>
      </c>
      <c r="Q678" s="301"/>
      <c r="S678" s="302">
        <f t="shared" si="36"/>
        <v>0</v>
      </c>
    </row>
    <row r="679" spans="1:19" ht="14.15" customHeight="1">
      <c r="A679" s="71">
        <v>679</v>
      </c>
      <c r="B679" s="67" t="s">
        <v>206</v>
      </c>
      <c r="C679" s="467" t="s">
        <v>617</v>
      </c>
      <c r="D679" s="467" t="s">
        <v>720</v>
      </c>
      <c r="E679" s="67" t="s">
        <v>714</v>
      </c>
      <c r="F679" s="67" t="s">
        <v>420</v>
      </c>
      <c r="G679" s="67" t="s">
        <v>514</v>
      </c>
      <c r="H679" s="67" t="s">
        <v>37</v>
      </c>
      <c r="I679" s="67" t="s">
        <v>601</v>
      </c>
      <c r="J679" s="67" t="s">
        <v>179</v>
      </c>
      <c r="K679" s="67">
        <v>5</v>
      </c>
      <c r="L679" s="299">
        <f t="shared" si="35"/>
        <v>0</v>
      </c>
      <c r="M679" s="221" t="s">
        <v>631</v>
      </c>
      <c r="N679" s="220">
        <f>IF(OR(M679="nio",M679="eigen dienst"),0,IF(M679&gt;0,M679*K679/O679,0))*VLOOKUP(B679,'2-Kosten per locatie'!$A$14:$C$33,3,FALSE)</f>
        <v>0</v>
      </c>
      <c r="O679" s="300">
        <f>IF(OR(M679="nio",M679="eigen dienst"),0,IF(M679&gt;0,VLOOKUP(H679,'3-Productie normen'!A:J,VLOOKUP(M679,'3-Productie normen'!$B$34:$C$35,2,FALSE),FALSE)))</f>
        <v>0</v>
      </c>
      <c r="P679" s="301" t="str">
        <f>VLOOKUP(H679,'3-Productie normen'!A:L,12,FALSE)</f>
        <v>S</v>
      </c>
      <c r="Q679" s="301"/>
      <c r="S679" s="302">
        <f t="shared" si="36"/>
        <v>0</v>
      </c>
    </row>
    <row r="680" spans="1:19" ht="14.15" customHeight="1">
      <c r="A680" s="71">
        <v>680</v>
      </c>
      <c r="B680" s="67" t="s">
        <v>206</v>
      </c>
      <c r="C680" s="467" t="s">
        <v>617</v>
      </c>
      <c r="D680" s="467" t="s">
        <v>720</v>
      </c>
      <c r="E680" s="67" t="s">
        <v>714</v>
      </c>
      <c r="F680" s="67" t="s">
        <v>421</v>
      </c>
      <c r="G680" s="67" t="s">
        <v>514</v>
      </c>
      <c r="H680" s="67" t="s">
        <v>37</v>
      </c>
      <c r="I680" s="67" t="s">
        <v>601</v>
      </c>
      <c r="J680" s="67" t="s">
        <v>179</v>
      </c>
      <c r="K680" s="67">
        <v>5.6</v>
      </c>
      <c r="L680" s="299">
        <f t="shared" si="35"/>
        <v>0</v>
      </c>
      <c r="M680" s="221" t="s">
        <v>631</v>
      </c>
      <c r="N680" s="220">
        <f>IF(OR(M680="nio",M680="eigen dienst"),0,IF(M680&gt;0,M680*K680/O680,0))*VLOOKUP(B680,'2-Kosten per locatie'!$A$14:$C$33,3,FALSE)</f>
        <v>0</v>
      </c>
      <c r="O680" s="300">
        <f>IF(OR(M680="nio",M680="eigen dienst"),0,IF(M680&gt;0,VLOOKUP(H680,'3-Productie normen'!A:J,VLOOKUP(M680,'3-Productie normen'!$B$34:$C$35,2,FALSE),FALSE)))</f>
        <v>0</v>
      </c>
      <c r="P680" s="301" t="str">
        <f>VLOOKUP(H680,'3-Productie normen'!A:L,12,FALSE)</f>
        <v>S</v>
      </c>
      <c r="Q680" s="301"/>
      <c r="S680" s="302">
        <f t="shared" si="36"/>
        <v>0</v>
      </c>
    </row>
    <row r="681" spans="1:19" ht="14.15" customHeight="1">
      <c r="A681" s="71">
        <v>681</v>
      </c>
      <c r="B681" s="67" t="s">
        <v>206</v>
      </c>
      <c r="C681" s="467" t="s">
        <v>617</v>
      </c>
      <c r="D681" s="467" t="s">
        <v>720</v>
      </c>
      <c r="E681" s="67" t="s">
        <v>714</v>
      </c>
      <c r="F681" s="67" t="s">
        <v>422</v>
      </c>
      <c r="G681" s="67" t="s">
        <v>512</v>
      </c>
      <c r="H681" s="67" t="s">
        <v>39</v>
      </c>
      <c r="I681" s="67" t="s">
        <v>705</v>
      </c>
      <c r="J681" s="67" t="s">
        <v>200</v>
      </c>
      <c r="K681" s="67">
        <v>12.9</v>
      </c>
      <c r="L681" s="299">
        <f t="shared" si="35"/>
        <v>0</v>
      </c>
      <c r="M681" s="221" t="s">
        <v>631</v>
      </c>
      <c r="N681" s="220">
        <f>IF(OR(M681="nio",M681="eigen dienst"),0,IF(M681&gt;0,M681*K681/O681,0))*VLOOKUP(B681,'2-Kosten per locatie'!$A$14:$C$33,3,FALSE)</f>
        <v>0</v>
      </c>
      <c r="O681" s="300">
        <f>IF(OR(M681="nio",M681="eigen dienst"),0,IF(M681&gt;0,VLOOKUP(H681,'3-Productie normen'!A:J,VLOOKUP(M681,'3-Productie normen'!$B$34:$C$35,2,FALSE),FALSE)))</f>
        <v>0</v>
      </c>
      <c r="P681" s="301" t="str">
        <f>VLOOKUP(H681,'3-Productie normen'!A:L,12,FALSE)</f>
        <v>V</v>
      </c>
      <c r="Q681" s="301"/>
      <c r="S681" s="302">
        <f t="shared" si="36"/>
        <v>0</v>
      </c>
    </row>
    <row r="682" spans="1:19" ht="14.15" customHeight="1">
      <c r="A682" s="71">
        <v>682</v>
      </c>
      <c r="B682" s="67" t="s">
        <v>206</v>
      </c>
      <c r="C682" s="467" t="s">
        <v>617</v>
      </c>
      <c r="D682" s="467" t="s">
        <v>720</v>
      </c>
      <c r="E682" s="67" t="s">
        <v>714</v>
      </c>
      <c r="F682" s="67" t="s">
        <v>422</v>
      </c>
      <c r="G682" s="67" t="s">
        <v>512</v>
      </c>
      <c r="H682" s="67" t="s">
        <v>39</v>
      </c>
      <c r="I682" s="67" t="s">
        <v>705</v>
      </c>
      <c r="J682" s="67" t="s">
        <v>200</v>
      </c>
      <c r="K682" s="67">
        <v>20</v>
      </c>
      <c r="L682" s="299">
        <f t="shared" si="35"/>
        <v>0</v>
      </c>
      <c r="M682" s="221" t="s">
        <v>631</v>
      </c>
      <c r="N682" s="220">
        <f>IF(OR(M682="nio",M682="eigen dienst"),0,IF(M682&gt;0,M682*K682/O682,0))*VLOOKUP(B682,'2-Kosten per locatie'!$A$14:$C$33,3,FALSE)</f>
        <v>0</v>
      </c>
      <c r="O682" s="300">
        <f>IF(OR(M682="nio",M682="eigen dienst"),0,IF(M682&gt;0,VLOOKUP(H682,'3-Productie normen'!A:J,VLOOKUP(M682,'3-Productie normen'!$B$34:$C$35,2,FALSE),FALSE)))</f>
        <v>0</v>
      </c>
      <c r="P682" s="301" t="str">
        <f>VLOOKUP(H682,'3-Productie normen'!A:L,12,FALSE)</f>
        <v>V</v>
      </c>
      <c r="Q682" s="301"/>
      <c r="S682" s="302">
        <f t="shared" si="36"/>
        <v>0</v>
      </c>
    </row>
    <row r="683" spans="1:19" ht="14.15" customHeight="1">
      <c r="A683" s="71">
        <v>683</v>
      </c>
      <c r="B683" s="67" t="s">
        <v>206</v>
      </c>
      <c r="C683" s="467" t="s">
        <v>617</v>
      </c>
      <c r="D683" s="467" t="s">
        <v>720</v>
      </c>
      <c r="E683" s="67" t="s">
        <v>714</v>
      </c>
      <c r="F683" s="67" t="s">
        <v>423</v>
      </c>
      <c r="G683" s="67" t="s">
        <v>518</v>
      </c>
      <c r="H683" s="67" t="s">
        <v>44</v>
      </c>
      <c r="I683" s="67" t="s">
        <v>705</v>
      </c>
      <c r="J683" s="67" t="s">
        <v>200</v>
      </c>
      <c r="K683" s="67"/>
      <c r="L683" s="299">
        <f t="shared" si="35"/>
        <v>0</v>
      </c>
      <c r="M683" s="221" t="s">
        <v>631</v>
      </c>
      <c r="N683" s="220">
        <f>IF(OR(M683="nio",M683="eigen dienst"),0,IF(M683&gt;0,M683*K683/O683,0))*VLOOKUP(B683,'2-Kosten per locatie'!$A$14:$C$33,3,FALSE)</f>
        <v>0</v>
      </c>
      <c r="O683" s="300">
        <f>IF(OR(M683="nio",M683="eigen dienst"),0,IF(M683&gt;0,VLOOKUP(H683,'3-Productie normen'!A:J,VLOOKUP(M683,'3-Productie normen'!$B$34:$C$35,2,FALSE),FALSE)))</f>
        <v>0</v>
      </c>
      <c r="P683" s="301" t="str">
        <f>VLOOKUP(H683,'3-Productie normen'!A:L,12,FALSE)</f>
        <v>V</v>
      </c>
      <c r="Q683" s="301"/>
      <c r="S683" s="302">
        <f t="shared" si="36"/>
        <v>0</v>
      </c>
    </row>
    <row r="684" spans="1:19" ht="14.15" customHeight="1">
      <c r="A684" s="71">
        <v>684</v>
      </c>
      <c r="B684" s="67" t="s">
        <v>206</v>
      </c>
      <c r="C684" s="467" t="s">
        <v>617</v>
      </c>
      <c r="D684" s="467" t="s">
        <v>720</v>
      </c>
      <c r="E684" s="67" t="s">
        <v>714</v>
      </c>
      <c r="F684" s="67" t="s">
        <v>424</v>
      </c>
      <c r="G684" s="67" t="s">
        <v>515</v>
      </c>
      <c r="H684" s="67" t="s">
        <v>609</v>
      </c>
      <c r="I684" s="67" t="s">
        <v>705</v>
      </c>
      <c r="J684" s="67" t="s">
        <v>200</v>
      </c>
      <c r="K684" s="67">
        <v>49.5</v>
      </c>
      <c r="L684" s="299">
        <f t="shared" si="35"/>
        <v>0</v>
      </c>
      <c r="M684" s="221" t="s">
        <v>631</v>
      </c>
      <c r="N684" s="220">
        <f>IF(OR(M684="nio",M684="eigen dienst"),0,IF(M684&gt;0,M684*K684/O684,0))*VLOOKUP(B684,'2-Kosten per locatie'!$A$14:$C$33,3,FALSE)</f>
        <v>0</v>
      </c>
      <c r="O684" s="300">
        <f>IF(OR(M684="nio",M684="eigen dienst"),0,IF(M684&gt;0,VLOOKUP(H684,'3-Productie normen'!A:J,VLOOKUP(M684,'3-Productie normen'!$B$34:$C$35,2,FALSE),FALSE)))</f>
        <v>0</v>
      </c>
      <c r="P684" s="301" t="str">
        <f>VLOOKUP(H684,'3-Productie normen'!A:L,12,FALSE)</f>
        <v>L</v>
      </c>
      <c r="Q684" s="301"/>
      <c r="S684" s="302">
        <f t="shared" si="36"/>
        <v>0</v>
      </c>
    </row>
    <row r="685" spans="1:19" ht="14.15" customHeight="1">
      <c r="A685" s="71">
        <v>685</v>
      </c>
      <c r="B685" s="67" t="s">
        <v>206</v>
      </c>
      <c r="C685" s="467" t="s">
        <v>617</v>
      </c>
      <c r="D685" s="467" t="s">
        <v>720</v>
      </c>
      <c r="E685" s="67" t="s">
        <v>714</v>
      </c>
      <c r="F685" s="67" t="s">
        <v>425</v>
      </c>
      <c r="G685" s="67" t="s">
        <v>515</v>
      </c>
      <c r="H685" s="67" t="s">
        <v>609</v>
      </c>
      <c r="I685" s="67" t="s">
        <v>705</v>
      </c>
      <c r="J685" s="67" t="s">
        <v>200</v>
      </c>
      <c r="K685" s="67">
        <v>52.1</v>
      </c>
      <c r="L685" s="299">
        <f t="shared" si="35"/>
        <v>0</v>
      </c>
      <c r="M685" s="221" t="s">
        <v>631</v>
      </c>
      <c r="N685" s="220">
        <f>IF(OR(M685="nio",M685="eigen dienst"),0,IF(M685&gt;0,M685*K685/O685,0))*VLOOKUP(B685,'2-Kosten per locatie'!$A$14:$C$33,3,FALSE)</f>
        <v>0</v>
      </c>
      <c r="O685" s="300">
        <f>IF(OR(M685="nio",M685="eigen dienst"),0,IF(M685&gt;0,VLOOKUP(H685,'3-Productie normen'!A:J,VLOOKUP(M685,'3-Productie normen'!$B$34:$C$35,2,FALSE),FALSE)))</f>
        <v>0</v>
      </c>
      <c r="P685" s="301" t="str">
        <f>VLOOKUP(H685,'3-Productie normen'!A:L,12,FALSE)</f>
        <v>L</v>
      </c>
      <c r="Q685" s="301"/>
      <c r="S685" s="302">
        <f t="shared" si="36"/>
        <v>0</v>
      </c>
    </row>
    <row r="686" spans="1:19" ht="14.15" customHeight="1">
      <c r="A686" s="71">
        <v>686</v>
      </c>
      <c r="B686" s="67" t="s">
        <v>206</v>
      </c>
      <c r="C686" s="467" t="s">
        <v>617</v>
      </c>
      <c r="D686" s="467" t="s">
        <v>720</v>
      </c>
      <c r="E686" s="67" t="s">
        <v>714</v>
      </c>
      <c r="F686" s="67" t="s">
        <v>426</v>
      </c>
      <c r="G686" s="67" t="s">
        <v>515</v>
      </c>
      <c r="H686" s="67" t="s">
        <v>609</v>
      </c>
      <c r="I686" s="67" t="s">
        <v>705</v>
      </c>
      <c r="J686" s="67" t="s">
        <v>200</v>
      </c>
      <c r="K686" s="67">
        <v>54.3</v>
      </c>
      <c r="L686" s="299">
        <f t="shared" si="35"/>
        <v>0</v>
      </c>
      <c r="M686" s="221" t="s">
        <v>631</v>
      </c>
      <c r="N686" s="220">
        <f>IF(OR(M686="nio",M686="eigen dienst"),0,IF(M686&gt;0,M686*K686/O686,0))*VLOOKUP(B686,'2-Kosten per locatie'!$A$14:$C$33,3,FALSE)</f>
        <v>0</v>
      </c>
      <c r="O686" s="300">
        <f>IF(OR(M686="nio",M686="eigen dienst"),0,IF(M686&gt;0,VLOOKUP(H686,'3-Productie normen'!A:J,VLOOKUP(M686,'3-Productie normen'!$B$34:$C$35,2,FALSE),FALSE)))</f>
        <v>0</v>
      </c>
      <c r="P686" s="301" t="str">
        <f>VLOOKUP(H686,'3-Productie normen'!A:L,12,FALSE)</f>
        <v>L</v>
      </c>
      <c r="Q686" s="301"/>
      <c r="S686" s="302">
        <f t="shared" si="36"/>
        <v>0</v>
      </c>
    </row>
    <row r="687" spans="1:19" ht="14.15" customHeight="1">
      <c r="A687" s="71">
        <v>687</v>
      </c>
      <c r="B687" s="67" t="s">
        <v>206</v>
      </c>
      <c r="C687" s="467" t="s">
        <v>617</v>
      </c>
      <c r="D687" s="467" t="s">
        <v>720</v>
      </c>
      <c r="E687" s="67" t="s">
        <v>714</v>
      </c>
      <c r="F687" s="67" t="s">
        <v>427</v>
      </c>
      <c r="G687" s="67" t="s">
        <v>521</v>
      </c>
      <c r="H687" s="67" t="s">
        <v>43</v>
      </c>
      <c r="I687" s="67" t="s">
        <v>705</v>
      </c>
      <c r="J687" s="67" t="s">
        <v>200</v>
      </c>
      <c r="K687" s="67">
        <v>39.200000000000003</v>
      </c>
      <c r="L687" s="299">
        <f t="shared" si="35"/>
        <v>0</v>
      </c>
      <c r="M687" s="221" t="s">
        <v>631</v>
      </c>
      <c r="N687" s="220">
        <f>IF(OR(M687="nio",M687="eigen dienst"),0,IF(M687&gt;0,M687*K687/O687,0))*VLOOKUP(B687,'2-Kosten per locatie'!$A$14:$C$33,3,FALSE)</f>
        <v>0</v>
      </c>
      <c r="O687" s="300">
        <f>IF(OR(M687="nio",M687="eigen dienst"),0,IF(M687&gt;0,VLOOKUP(H687,'3-Productie normen'!A:J,VLOOKUP(M687,'3-Productie normen'!$B$34:$C$35,2,FALSE),FALSE)))</f>
        <v>0</v>
      </c>
      <c r="P687" s="301" t="str">
        <f>VLOOKUP(H687,'3-Productie normen'!A:L,12,FALSE)</f>
        <v>B</v>
      </c>
      <c r="Q687" s="301"/>
      <c r="S687" s="302">
        <f t="shared" si="36"/>
        <v>0</v>
      </c>
    </row>
    <row r="688" spans="1:19" ht="14.15" customHeight="1">
      <c r="A688" s="71">
        <v>688</v>
      </c>
      <c r="B688" s="67" t="s">
        <v>206</v>
      </c>
      <c r="C688" s="467" t="s">
        <v>617</v>
      </c>
      <c r="D688" s="467" t="s">
        <v>720</v>
      </c>
      <c r="E688" s="67" t="s">
        <v>714</v>
      </c>
      <c r="F688" s="67" t="s">
        <v>428</v>
      </c>
      <c r="G688" s="67" t="s">
        <v>557</v>
      </c>
      <c r="H688" s="67" t="s">
        <v>41</v>
      </c>
      <c r="I688" s="67" t="s">
        <v>705</v>
      </c>
      <c r="J688" s="67" t="s">
        <v>200</v>
      </c>
      <c r="K688" s="67">
        <v>17.3</v>
      </c>
      <c r="L688" s="299">
        <f t="shared" si="35"/>
        <v>0</v>
      </c>
      <c r="M688" s="221" t="s">
        <v>631</v>
      </c>
      <c r="N688" s="220">
        <f>IF(OR(M688="nio",M688="eigen dienst"),0,IF(M688&gt;0,M688*K688/O688,0))*VLOOKUP(B688,'2-Kosten per locatie'!$A$14:$C$33,3,FALSE)</f>
        <v>0</v>
      </c>
      <c r="O688" s="300">
        <f>IF(OR(M688="nio",M688="eigen dienst"),0,IF(M688&gt;0,VLOOKUP(H688,'3-Productie normen'!A:J,VLOOKUP(M688,'3-Productie normen'!$B$34:$C$35,2,FALSE),FALSE)))</f>
        <v>0</v>
      </c>
      <c r="P688" s="301" t="str">
        <f>VLOOKUP(H688,'3-Productie normen'!A:L,12,FALSE)</f>
        <v>V</v>
      </c>
      <c r="Q688" s="301"/>
      <c r="S688" s="302">
        <f t="shared" si="36"/>
        <v>0</v>
      </c>
    </row>
    <row r="689" spans="1:19" ht="14.15" customHeight="1">
      <c r="A689" s="71">
        <v>689</v>
      </c>
      <c r="B689" s="67" t="s">
        <v>206</v>
      </c>
      <c r="C689" s="467" t="s">
        <v>617</v>
      </c>
      <c r="D689" s="467" t="s">
        <v>720</v>
      </c>
      <c r="E689" s="67" t="s">
        <v>714</v>
      </c>
      <c r="F689" s="67" t="s">
        <v>429</v>
      </c>
      <c r="G689" s="67" t="s">
        <v>558</v>
      </c>
      <c r="H689" s="67" t="s">
        <v>43</v>
      </c>
      <c r="I689" s="67" t="s">
        <v>705</v>
      </c>
      <c r="J689" s="67" t="s">
        <v>200</v>
      </c>
      <c r="K689" s="67">
        <v>1.37</v>
      </c>
      <c r="L689" s="299">
        <f t="shared" si="35"/>
        <v>0</v>
      </c>
      <c r="M689" s="221" t="s">
        <v>631</v>
      </c>
      <c r="N689" s="220">
        <f>IF(OR(M689="nio",M689="eigen dienst"),0,IF(M689&gt;0,M689*K689/O689,0))*VLOOKUP(B689,'2-Kosten per locatie'!$A$14:$C$33,3,FALSE)</f>
        <v>0</v>
      </c>
      <c r="O689" s="300">
        <f>IF(OR(M689="nio",M689="eigen dienst"),0,IF(M689&gt;0,VLOOKUP(H689,'3-Productie normen'!A:J,VLOOKUP(M689,'3-Productie normen'!$B$34:$C$35,2,FALSE),FALSE)))</f>
        <v>0</v>
      </c>
      <c r="P689" s="301" t="str">
        <f>VLOOKUP(H689,'3-Productie normen'!A:L,12,FALSE)</f>
        <v>B</v>
      </c>
      <c r="Q689" s="301"/>
      <c r="S689" s="302">
        <f t="shared" si="36"/>
        <v>0</v>
      </c>
    </row>
    <row r="690" spans="1:19" ht="14.15" customHeight="1">
      <c r="A690" s="71">
        <v>690</v>
      </c>
      <c r="B690" s="67" t="s">
        <v>206</v>
      </c>
      <c r="C690" s="467" t="s">
        <v>617</v>
      </c>
      <c r="D690" s="467" t="s">
        <v>720</v>
      </c>
      <c r="E690" s="67" t="s">
        <v>714</v>
      </c>
      <c r="F690" s="67" t="s">
        <v>430</v>
      </c>
      <c r="G690" s="67" t="s">
        <v>516</v>
      </c>
      <c r="H690" s="67" t="s">
        <v>35</v>
      </c>
      <c r="I690" s="67" t="s">
        <v>705</v>
      </c>
      <c r="J690" s="67" t="s">
        <v>200</v>
      </c>
      <c r="K690" s="67">
        <v>18.899999999999999</v>
      </c>
      <c r="L690" s="299">
        <f t="shared" si="35"/>
        <v>0</v>
      </c>
      <c r="M690" s="221" t="s">
        <v>631</v>
      </c>
      <c r="N690" s="220">
        <f>IF(OR(M690="nio",M690="eigen dienst"),0,IF(M690&gt;0,M690*K690/O690,0))*VLOOKUP(B690,'2-Kosten per locatie'!$A$14:$C$33,3,FALSE)</f>
        <v>0</v>
      </c>
      <c r="O690" s="300">
        <f>IF(OR(M690="nio",M690="eigen dienst"),0,IF(M690&gt;0,VLOOKUP(H690,'3-Productie normen'!A:J,VLOOKUP(M690,'3-Productie normen'!$B$34:$C$35,2,FALSE),FALSE)))</f>
        <v>0</v>
      </c>
      <c r="P690" s="301" t="str">
        <f>VLOOKUP(H690,'3-Productie normen'!A:L,12,FALSE)</f>
        <v>B</v>
      </c>
      <c r="Q690" s="301"/>
      <c r="S690" s="302">
        <f t="shared" si="36"/>
        <v>0</v>
      </c>
    </row>
    <row r="691" spans="1:19" ht="14.15" customHeight="1">
      <c r="A691" s="71">
        <v>691</v>
      </c>
      <c r="B691" s="67" t="s">
        <v>206</v>
      </c>
      <c r="C691" s="467" t="s">
        <v>617</v>
      </c>
      <c r="D691" s="467" t="s">
        <v>720</v>
      </c>
      <c r="E691" s="67" t="s">
        <v>714</v>
      </c>
      <c r="F691" s="67" t="s">
        <v>431</v>
      </c>
      <c r="G691" s="67" t="s">
        <v>516</v>
      </c>
      <c r="H691" s="67" t="s">
        <v>35</v>
      </c>
      <c r="I691" s="67" t="s">
        <v>705</v>
      </c>
      <c r="J691" s="67" t="s">
        <v>200</v>
      </c>
      <c r="K691" s="67">
        <v>13.2</v>
      </c>
      <c r="L691" s="299">
        <f t="shared" si="35"/>
        <v>0</v>
      </c>
      <c r="M691" s="221" t="s">
        <v>631</v>
      </c>
      <c r="N691" s="220">
        <f>IF(OR(M691="nio",M691="eigen dienst"),0,IF(M691&gt;0,M691*K691/O691,0))*VLOOKUP(B691,'2-Kosten per locatie'!$A$14:$C$33,3,FALSE)</f>
        <v>0</v>
      </c>
      <c r="O691" s="300">
        <f>IF(OR(M691="nio",M691="eigen dienst"),0,IF(M691&gt;0,VLOOKUP(H691,'3-Productie normen'!A:J,VLOOKUP(M691,'3-Productie normen'!$B$34:$C$35,2,FALSE),FALSE)))</f>
        <v>0</v>
      </c>
      <c r="P691" s="301" t="str">
        <f>VLOOKUP(H691,'3-Productie normen'!A:L,12,FALSE)</f>
        <v>B</v>
      </c>
      <c r="Q691" s="301"/>
      <c r="S691" s="302">
        <f t="shared" si="36"/>
        <v>0</v>
      </c>
    </row>
    <row r="692" spans="1:19" ht="14.15" customHeight="1">
      <c r="A692" s="71">
        <v>692</v>
      </c>
      <c r="B692" s="67" t="s">
        <v>206</v>
      </c>
      <c r="C692" s="467" t="s">
        <v>617</v>
      </c>
      <c r="D692" s="467" t="s">
        <v>720</v>
      </c>
      <c r="E692" s="67" t="s">
        <v>714</v>
      </c>
      <c r="F692" s="67" t="s">
        <v>432</v>
      </c>
      <c r="G692" s="67" t="s">
        <v>516</v>
      </c>
      <c r="H692" s="67" t="s">
        <v>35</v>
      </c>
      <c r="I692" s="67" t="s">
        <v>705</v>
      </c>
      <c r="J692" s="67" t="s">
        <v>200</v>
      </c>
      <c r="K692" s="67">
        <v>9.9</v>
      </c>
      <c r="L692" s="299">
        <f t="shared" si="35"/>
        <v>0</v>
      </c>
      <c r="M692" s="221" t="s">
        <v>631</v>
      </c>
      <c r="N692" s="220">
        <f>IF(OR(M692="nio",M692="eigen dienst"),0,IF(M692&gt;0,M692*K692/O692,0))*VLOOKUP(B692,'2-Kosten per locatie'!$A$14:$C$33,3,FALSE)</f>
        <v>0</v>
      </c>
      <c r="O692" s="300">
        <f>IF(OR(M692="nio",M692="eigen dienst"),0,IF(M692&gt;0,VLOOKUP(H692,'3-Productie normen'!A:J,VLOOKUP(M692,'3-Productie normen'!$B$34:$C$35,2,FALSE),FALSE)))</f>
        <v>0</v>
      </c>
      <c r="P692" s="301" t="str">
        <f>VLOOKUP(H692,'3-Productie normen'!A:L,12,FALSE)</f>
        <v>B</v>
      </c>
      <c r="Q692" s="301"/>
      <c r="S692" s="302">
        <f t="shared" si="36"/>
        <v>0</v>
      </c>
    </row>
    <row r="693" spans="1:19" ht="14.15" customHeight="1">
      <c r="A693" s="71">
        <v>693</v>
      </c>
      <c r="B693" s="67" t="s">
        <v>206</v>
      </c>
      <c r="C693" s="467" t="s">
        <v>617</v>
      </c>
      <c r="D693" s="467" t="s">
        <v>720</v>
      </c>
      <c r="E693" s="67" t="s">
        <v>714</v>
      </c>
      <c r="F693" s="67" t="s">
        <v>433</v>
      </c>
      <c r="G693" s="67" t="s">
        <v>550</v>
      </c>
      <c r="H693" s="67" t="s">
        <v>46</v>
      </c>
      <c r="I693" s="67" t="s">
        <v>705</v>
      </c>
      <c r="J693" s="67" t="s">
        <v>200</v>
      </c>
      <c r="K693" s="67">
        <v>9.1</v>
      </c>
      <c r="L693" s="299">
        <f t="shared" si="35"/>
        <v>0</v>
      </c>
      <c r="M693" s="221" t="s">
        <v>631</v>
      </c>
      <c r="N693" s="220">
        <f>IF(OR(M693="nio",M693="eigen dienst"),0,IF(M693&gt;0,M693*K693/O693,0))*VLOOKUP(B693,'2-Kosten per locatie'!$A$14:$C$33,3,FALSE)</f>
        <v>0</v>
      </c>
      <c r="O693" s="300">
        <f>IF(OR(M693="nio",M693="eigen dienst"),0,IF(M693&gt;0,VLOOKUP(H693,'3-Productie normen'!A:J,VLOOKUP(M693,'3-Productie normen'!$B$34:$C$35,2,FALSE),FALSE)))</f>
        <v>0</v>
      </c>
      <c r="P693" s="301" t="str">
        <f>VLOOKUP(H693,'3-Productie normen'!A:L,12,FALSE)</f>
        <v>V</v>
      </c>
      <c r="Q693" s="301"/>
      <c r="S693" s="302">
        <f t="shared" si="36"/>
        <v>0</v>
      </c>
    </row>
    <row r="694" spans="1:19" ht="14.15" customHeight="1">
      <c r="A694" s="71">
        <v>694</v>
      </c>
      <c r="B694" s="67" t="s">
        <v>206</v>
      </c>
      <c r="C694" s="467" t="s">
        <v>617</v>
      </c>
      <c r="D694" s="467" t="s">
        <v>720</v>
      </c>
      <c r="E694" s="67" t="s">
        <v>714</v>
      </c>
      <c r="F694" s="67" t="s">
        <v>434</v>
      </c>
      <c r="G694" s="67" t="s">
        <v>48</v>
      </c>
      <c r="H694" s="67" t="s">
        <v>48</v>
      </c>
      <c r="I694" s="67" t="s">
        <v>72</v>
      </c>
      <c r="J694" s="67" t="s">
        <v>200</v>
      </c>
      <c r="K694" s="67"/>
      <c r="L694" s="299">
        <f t="shared" si="35"/>
        <v>0</v>
      </c>
      <c r="M694" s="221" t="s">
        <v>631</v>
      </c>
      <c r="N694" s="220">
        <f>IF(OR(M694="nio",M694="eigen dienst"),0,IF(M694&gt;0,M694*K694/O694,0))*VLOOKUP(B694,'2-Kosten per locatie'!$A$14:$C$33,3,FALSE)</f>
        <v>0</v>
      </c>
      <c r="O694" s="300">
        <f>IF(OR(M694="nio",M694="eigen dienst"),0,IF(M694&gt;0,VLOOKUP(H694,'3-Productie normen'!A:J,VLOOKUP(M694,'3-Productie normen'!$B$34:$C$35,2,FALSE),FALSE)))</f>
        <v>0</v>
      </c>
      <c r="P694" s="301" t="str">
        <f>VLOOKUP(H694,'3-Productie normen'!A:L,12,FALSE)</f>
        <v>V</v>
      </c>
      <c r="Q694" s="301"/>
      <c r="S694" s="302">
        <f t="shared" si="36"/>
        <v>0</v>
      </c>
    </row>
    <row r="695" spans="1:19" ht="14.15" customHeight="1">
      <c r="A695" s="71">
        <v>695</v>
      </c>
      <c r="B695" s="67" t="s">
        <v>206</v>
      </c>
      <c r="C695" s="467" t="s">
        <v>617</v>
      </c>
      <c r="D695" s="467" t="s">
        <v>720</v>
      </c>
      <c r="E695" s="67" t="s">
        <v>714</v>
      </c>
      <c r="F695" s="67" t="s">
        <v>435</v>
      </c>
      <c r="G695" s="67" t="s">
        <v>516</v>
      </c>
      <c r="H695" s="67" t="s">
        <v>35</v>
      </c>
      <c r="I695" s="67" t="s">
        <v>705</v>
      </c>
      <c r="J695" s="67" t="s">
        <v>200</v>
      </c>
      <c r="K695" s="67">
        <v>88.6</v>
      </c>
      <c r="L695" s="299">
        <f t="shared" si="35"/>
        <v>0</v>
      </c>
      <c r="M695" s="221" t="s">
        <v>631</v>
      </c>
      <c r="N695" s="220">
        <f>IF(OR(M695="nio",M695="eigen dienst"),0,IF(M695&gt;0,M695*K695/O695,0))*VLOOKUP(B695,'2-Kosten per locatie'!$A$14:$C$33,3,FALSE)</f>
        <v>0</v>
      </c>
      <c r="O695" s="300">
        <f>IF(OR(M695="nio",M695="eigen dienst"),0,IF(M695&gt;0,VLOOKUP(H695,'3-Productie normen'!A:J,VLOOKUP(M695,'3-Productie normen'!$B$34:$C$35,2,FALSE),FALSE)))</f>
        <v>0</v>
      </c>
      <c r="P695" s="301" t="str">
        <f>VLOOKUP(H695,'3-Productie normen'!A:L,12,FALSE)</f>
        <v>B</v>
      </c>
      <c r="Q695" s="301"/>
      <c r="S695" s="302">
        <f t="shared" si="36"/>
        <v>0</v>
      </c>
    </row>
    <row r="696" spans="1:19" ht="14.15" customHeight="1">
      <c r="A696" s="71">
        <v>696</v>
      </c>
      <c r="B696" s="67" t="s">
        <v>206</v>
      </c>
      <c r="C696" s="467" t="s">
        <v>617</v>
      </c>
      <c r="D696" s="467" t="s">
        <v>720</v>
      </c>
      <c r="E696" s="67" t="s">
        <v>714</v>
      </c>
      <c r="F696" s="67" t="s">
        <v>436</v>
      </c>
      <c r="G696" s="67" t="s">
        <v>519</v>
      </c>
      <c r="H696" s="67" t="s">
        <v>41</v>
      </c>
      <c r="I696" s="67" t="s">
        <v>705</v>
      </c>
      <c r="J696" s="67" t="s">
        <v>200</v>
      </c>
      <c r="K696" s="67">
        <v>1.8</v>
      </c>
      <c r="L696" s="299">
        <f t="shared" si="35"/>
        <v>0</v>
      </c>
      <c r="M696" s="221" t="s">
        <v>631</v>
      </c>
      <c r="N696" s="220">
        <f>IF(OR(M696="nio",M696="eigen dienst"),0,IF(M696&gt;0,M696*K696/O696,0))*VLOOKUP(B696,'2-Kosten per locatie'!$A$14:$C$33,3,FALSE)</f>
        <v>0</v>
      </c>
      <c r="O696" s="300">
        <f>IF(OR(M696="nio",M696="eigen dienst"),0,IF(M696&gt;0,VLOOKUP(H696,'3-Productie normen'!A:J,VLOOKUP(M696,'3-Productie normen'!$B$34:$C$35,2,FALSE),FALSE)))</f>
        <v>0</v>
      </c>
      <c r="P696" s="301" t="str">
        <f>VLOOKUP(H696,'3-Productie normen'!A:L,12,FALSE)</f>
        <v>V</v>
      </c>
      <c r="Q696" s="301"/>
      <c r="S696" s="302">
        <f t="shared" si="36"/>
        <v>0</v>
      </c>
    </row>
    <row r="697" spans="1:19" ht="14.15" customHeight="1">
      <c r="A697" s="71">
        <v>697</v>
      </c>
      <c r="B697" s="67" t="s">
        <v>206</v>
      </c>
      <c r="C697" s="467" t="s">
        <v>617</v>
      </c>
      <c r="D697" s="467" t="s">
        <v>720</v>
      </c>
      <c r="E697" s="67" t="s">
        <v>714</v>
      </c>
      <c r="F697" s="67" t="s">
        <v>437</v>
      </c>
      <c r="G697" s="67" t="s">
        <v>518</v>
      </c>
      <c r="H697" s="67" t="s">
        <v>44</v>
      </c>
      <c r="I697" s="67" t="s">
        <v>705</v>
      </c>
      <c r="J697" s="67" t="s">
        <v>200</v>
      </c>
      <c r="K697" s="67"/>
      <c r="L697" s="299">
        <f t="shared" si="35"/>
        <v>0</v>
      </c>
      <c r="M697" s="221" t="s">
        <v>631</v>
      </c>
      <c r="N697" s="220">
        <f>IF(OR(M697="nio",M697="eigen dienst"),0,IF(M697&gt;0,M697*K697/O697,0))*VLOOKUP(B697,'2-Kosten per locatie'!$A$14:$C$33,3,FALSE)</f>
        <v>0</v>
      </c>
      <c r="O697" s="300">
        <f>IF(OR(M697="nio",M697="eigen dienst"),0,IF(M697&gt;0,VLOOKUP(H697,'3-Productie normen'!A:J,VLOOKUP(M697,'3-Productie normen'!$B$34:$C$35,2,FALSE),FALSE)))</f>
        <v>0</v>
      </c>
      <c r="P697" s="301" t="str">
        <f>VLOOKUP(H697,'3-Productie normen'!A:L,12,FALSE)</f>
        <v>V</v>
      </c>
      <c r="Q697" s="301"/>
      <c r="S697" s="302">
        <f t="shared" si="36"/>
        <v>0</v>
      </c>
    </row>
    <row r="698" spans="1:19" ht="14.15" customHeight="1">
      <c r="A698" s="71">
        <v>698</v>
      </c>
      <c r="B698" s="67" t="s">
        <v>206</v>
      </c>
      <c r="C698" s="467" t="s">
        <v>617</v>
      </c>
      <c r="D698" s="467" t="s">
        <v>720</v>
      </c>
      <c r="E698" s="67" t="s">
        <v>714</v>
      </c>
      <c r="F698" s="67" t="s">
        <v>438</v>
      </c>
      <c r="G698" s="67" t="s">
        <v>550</v>
      </c>
      <c r="H698" s="67" t="s">
        <v>46</v>
      </c>
      <c r="I698" s="67" t="s">
        <v>705</v>
      </c>
      <c r="J698" s="67" t="s">
        <v>200</v>
      </c>
      <c r="K698" s="67">
        <v>9.6999999999999993</v>
      </c>
      <c r="L698" s="299">
        <f t="shared" si="35"/>
        <v>0</v>
      </c>
      <c r="M698" s="221" t="s">
        <v>631</v>
      </c>
      <c r="N698" s="220">
        <f>IF(OR(M698="nio",M698="eigen dienst"),0,IF(M698&gt;0,M698*K698/O698,0))*VLOOKUP(B698,'2-Kosten per locatie'!$A$14:$C$33,3,FALSE)</f>
        <v>0</v>
      </c>
      <c r="O698" s="300">
        <f>IF(OR(M698="nio",M698="eigen dienst"),0,IF(M698&gt;0,VLOOKUP(H698,'3-Productie normen'!A:J,VLOOKUP(M698,'3-Productie normen'!$B$34:$C$35,2,FALSE),FALSE)))</f>
        <v>0</v>
      </c>
      <c r="P698" s="301" t="str">
        <f>VLOOKUP(H698,'3-Productie normen'!A:L,12,FALSE)</f>
        <v>V</v>
      </c>
      <c r="Q698" s="301"/>
      <c r="S698" s="302">
        <f t="shared" si="36"/>
        <v>0</v>
      </c>
    </row>
    <row r="699" spans="1:19" ht="14.15" customHeight="1">
      <c r="A699" s="71">
        <v>699</v>
      </c>
      <c r="B699" s="67" t="s">
        <v>206</v>
      </c>
      <c r="C699" s="467" t="s">
        <v>617</v>
      </c>
      <c r="D699" s="467" t="s">
        <v>720</v>
      </c>
      <c r="E699" s="67" t="s">
        <v>714</v>
      </c>
      <c r="F699" s="67" t="s">
        <v>439</v>
      </c>
      <c r="G699" s="67" t="s">
        <v>523</v>
      </c>
      <c r="H699" s="67" t="s">
        <v>630</v>
      </c>
      <c r="I699" s="67" t="s">
        <v>705</v>
      </c>
      <c r="J699" s="67" t="s">
        <v>200</v>
      </c>
      <c r="K699" s="67">
        <v>5.0999999999999996</v>
      </c>
      <c r="L699" s="299">
        <f t="shared" si="35"/>
        <v>0</v>
      </c>
      <c r="M699" s="221" t="s">
        <v>629</v>
      </c>
      <c r="N699" s="220">
        <f>IF(OR(M699="nio",M699="eigen dienst"),0,IF(M699&gt;0,M699*K699/O699,0))*VLOOKUP(B699,'2-Kosten per locatie'!$A$14:$C$33,3,FALSE)</f>
        <v>0</v>
      </c>
      <c r="O699" s="300">
        <f>IF(OR(M699="nio",M699="eigen dienst"),0,IF(M699&gt;0,VLOOKUP(H699,'3-Productie normen'!A:J,VLOOKUP(M699,'3-Productie normen'!$B$34:$C$35,2,FALSE),FALSE)))</f>
        <v>0</v>
      </c>
      <c r="P699" s="301">
        <f>VLOOKUP(H699,'3-Productie normen'!A:L,12,FALSE)</f>
        <v>0</v>
      </c>
      <c r="Q699" s="301"/>
      <c r="S699" s="302">
        <f t="shared" si="36"/>
        <v>0</v>
      </c>
    </row>
    <row r="700" spans="1:19" ht="14.15" customHeight="1">
      <c r="A700" s="71">
        <v>700</v>
      </c>
      <c r="B700" s="67" t="s">
        <v>206</v>
      </c>
      <c r="C700" s="467" t="s">
        <v>617</v>
      </c>
      <c r="D700" s="467" t="s">
        <v>720</v>
      </c>
      <c r="E700" s="67" t="s">
        <v>714</v>
      </c>
      <c r="F700" s="67" t="s">
        <v>440</v>
      </c>
      <c r="G700" s="67" t="s">
        <v>559</v>
      </c>
      <c r="H700" s="67" t="s">
        <v>630</v>
      </c>
      <c r="I700" s="67" t="s">
        <v>705</v>
      </c>
      <c r="J700" s="67" t="s">
        <v>200</v>
      </c>
      <c r="K700" s="67">
        <v>6.9</v>
      </c>
      <c r="L700" s="299">
        <f t="shared" si="35"/>
        <v>0</v>
      </c>
      <c r="M700" s="221" t="s">
        <v>629</v>
      </c>
      <c r="N700" s="220">
        <f>IF(OR(M700="nio",M700="eigen dienst"),0,IF(M700&gt;0,M700*K700/O700,0))*VLOOKUP(B700,'2-Kosten per locatie'!$A$14:$C$33,3,FALSE)</f>
        <v>0</v>
      </c>
      <c r="O700" s="300">
        <f>IF(OR(M700="nio",M700="eigen dienst"),0,IF(M700&gt;0,VLOOKUP(H700,'3-Productie normen'!A:J,VLOOKUP(M700,'3-Productie normen'!$B$34:$C$35,2,FALSE),FALSE)))</f>
        <v>0</v>
      </c>
      <c r="P700" s="301">
        <f>VLOOKUP(H700,'3-Productie normen'!A:L,12,FALSE)</f>
        <v>0</v>
      </c>
      <c r="Q700" s="301"/>
      <c r="S700" s="302">
        <f t="shared" si="36"/>
        <v>0</v>
      </c>
    </row>
    <row r="701" spans="1:19" ht="14.15" customHeight="1">
      <c r="A701" s="71">
        <v>701</v>
      </c>
      <c r="B701" s="67" t="s">
        <v>206</v>
      </c>
      <c r="C701" s="467" t="s">
        <v>617</v>
      </c>
      <c r="D701" s="467" t="s">
        <v>720</v>
      </c>
      <c r="E701" s="67" t="s">
        <v>714</v>
      </c>
      <c r="F701" s="67" t="s">
        <v>441</v>
      </c>
      <c r="G701" s="67" t="s">
        <v>550</v>
      </c>
      <c r="H701" s="67" t="s">
        <v>46</v>
      </c>
      <c r="I701" s="67" t="s">
        <v>705</v>
      </c>
      <c r="J701" s="67" t="s">
        <v>200</v>
      </c>
      <c r="K701" s="67">
        <v>5.2</v>
      </c>
      <c r="L701" s="299">
        <f t="shared" si="35"/>
        <v>0</v>
      </c>
      <c r="M701" s="221" t="s">
        <v>631</v>
      </c>
      <c r="N701" s="220">
        <f>IF(OR(M701="nio",M701="eigen dienst"),0,IF(M701&gt;0,M701*K701/O701,0))*VLOOKUP(B701,'2-Kosten per locatie'!$A$14:$C$33,3,FALSE)</f>
        <v>0</v>
      </c>
      <c r="O701" s="300">
        <f>IF(OR(M701="nio",M701="eigen dienst"),0,IF(M701&gt;0,VLOOKUP(H701,'3-Productie normen'!A:J,VLOOKUP(M701,'3-Productie normen'!$B$34:$C$35,2,FALSE),FALSE)))</f>
        <v>0</v>
      </c>
      <c r="P701" s="301" t="str">
        <f>VLOOKUP(H701,'3-Productie normen'!A:L,12,FALSE)</f>
        <v>V</v>
      </c>
      <c r="Q701" s="301"/>
      <c r="S701" s="302">
        <f t="shared" si="36"/>
        <v>0</v>
      </c>
    </row>
    <row r="702" spans="1:19" ht="14.15" customHeight="1">
      <c r="A702" s="71">
        <v>702</v>
      </c>
      <c r="B702" s="67" t="s">
        <v>206</v>
      </c>
      <c r="C702" s="467" t="s">
        <v>617</v>
      </c>
      <c r="D702" s="467" t="s">
        <v>720</v>
      </c>
      <c r="E702" s="67" t="s">
        <v>714</v>
      </c>
      <c r="F702" s="67" t="s">
        <v>442</v>
      </c>
      <c r="G702" s="67" t="s">
        <v>550</v>
      </c>
      <c r="H702" s="67" t="s">
        <v>46</v>
      </c>
      <c r="I702" s="67" t="s">
        <v>705</v>
      </c>
      <c r="J702" s="67" t="s">
        <v>200</v>
      </c>
      <c r="K702" s="67">
        <v>8.1999999999999993</v>
      </c>
      <c r="L702" s="299">
        <f t="shared" si="35"/>
        <v>0</v>
      </c>
      <c r="M702" s="221" t="s">
        <v>631</v>
      </c>
      <c r="N702" s="220">
        <f>IF(OR(M702="nio",M702="eigen dienst"),0,IF(M702&gt;0,M702*K702/O702,0))*VLOOKUP(B702,'2-Kosten per locatie'!$A$14:$C$33,3,FALSE)</f>
        <v>0</v>
      </c>
      <c r="O702" s="300">
        <f>IF(OR(M702="nio",M702="eigen dienst"),0,IF(M702&gt;0,VLOOKUP(H702,'3-Productie normen'!A:J,VLOOKUP(M702,'3-Productie normen'!$B$34:$C$35,2,FALSE),FALSE)))</f>
        <v>0</v>
      </c>
      <c r="P702" s="301" t="str">
        <f>VLOOKUP(H702,'3-Productie normen'!A:L,12,FALSE)</f>
        <v>V</v>
      </c>
      <c r="Q702" s="301"/>
      <c r="S702" s="302">
        <f t="shared" si="36"/>
        <v>0</v>
      </c>
    </row>
    <row r="703" spans="1:19" ht="14.15" customHeight="1">
      <c r="A703" s="71">
        <v>703</v>
      </c>
      <c r="B703" s="67" t="s">
        <v>217</v>
      </c>
      <c r="C703" s="467" t="s">
        <v>627</v>
      </c>
      <c r="D703" s="467" t="s">
        <v>720</v>
      </c>
      <c r="E703" s="67" t="s">
        <v>713</v>
      </c>
      <c r="F703" s="67" t="s">
        <v>220</v>
      </c>
      <c r="G703" s="67" t="s">
        <v>47</v>
      </c>
      <c r="H703" s="67" t="s">
        <v>47</v>
      </c>
      <c r="I703" s="67" t="s">
        <v>597</v>
      </c>
      <c r="J703" s="67" t="s">
        <v>201</v>
      </c>
      <c r="K703" s="67">
        <v>5.4</v>
      </c>
      <c r="L703" s="299">
        <f t="shared" ref="L703:L724" si="37">SUM(M703:M703)</f>
        <v>0</v>
      </c>
      <c r="M703" s="221" t="s">
        <v>631</v>
      </c>
      <c r="N703" s="220">
        <f>IF(OR(M703="nio",M703="eigen dienst"),0,IF(M703&gt;0,M703*K703/O703,0))*VLOOKUP(B703,'2-Kosten per locatie'!$A$14:$C$33,3,FALSE)</f>
        <v>0</v>
      </c>
      <c r="O703" s="300">
        <f>IF(OR(M703="nio",M703="eigen dienst"),0,IF(M703&gt;0,VLOOKUP(H703,'3-Productie normen'!A:J,VLOOKUP(M703,'3-Productie normen'!$B$34:$C$35,2,FALSE),FALSE)))</f>
        <v>0</v>
      </c>
      <c r="P703" s="301" t="str">
        <f>VLOOKUP(H703,'3-Productie normen'!A:L,12,FALSE)</f>
        <v>V</v>
      </c>
      <c r="Q703" s="301"/>
      <c r="S703" s="302">
        <f t="shared" ref="S703:S724" si="38">L703*K703</f>
        <v>0</v>
      </c>
    </row>
    <row r="704" spans="1:19" ht="14.15" customHeight="1">
      <c r="A704" s="71">
        <v>704</v>
      </c>
      <c r="B704" s="67" t="s">
        <v>217</v>
      </c>
      <c r="C704" s="467" t="s">
        <v>627</v>
      </c>
      <c r="D704" s="467" t="s">
        <v>720</v>
      </c>
      <c r="E704" s="67" t="s">
        <v>713</v>
      </c>
      <c r="F704" s="67" t="s">
        <v>228</v>
      </c>
      <c r="G704" s="67" t="s">
        <v>538</v>
      </c>
      <c r="H704" s="67" t="s">
        <v>44</v>
      </c>
      <c r="I704" s="67" t="s">
        <v>72</v>
      </c>
      <c r="J704" s="67" t="s">
        <v>200</v>
      </c>
      <c r="K704" s="67">
        <v>7</v>
      </c>
      <c r="L704" s="299">
        <f t="shared" si="37"/>
        <v>0</v>
      </c>
      <c r="M704" s="221" t="s">
        <v>631</v>
      </c>
      <c r="N704" s="220">
        <f>IF(OR(M704="nio",M704="eigen dienst"),0,IF(M704&gt;0,M704*K704/O704,0))*VLOOKUP(B704,'2-Kosten per locatie'!$A$14:$C$33,3,FALSE)</f>
        <v>0</v>
      </c>
      <c r="O704" s="300">
        <f>IF(OR(M704="nio",M704="eigen dienst"),0,IF(M704&gt;0,VLOOKUP(H704,'3-Productie normen'!A:J,VLOOKUP(M704,'3-Productie normen'!$B$34:$C$35,2,FALSE),FALSE)))</f>
        <v>0</v>
      </c>
      <c r="P704" s="301" t="str">
        <f>VLOOKUP(H704,'3-Productie normen'!A:L,12,FALSE)</f>
        <v>V</v>
      </c>
      <c r="Q704" s="301"/>
      <c r="S704" s="302">
        <f t="shared" si="38"/>
        <v>0</v>
      </c>
    </row>
    <row r="705" spans="1:19" ht="14.15" customHeight="1">
      <c r="A705" s="71">
        <v>705</v>
      </c>
      <c r="B705" s="67" t="s">
        <v>217</v>
      </c>
      <c r="C705" s="467" t="s">
        <v>627</v>
      </c>
      <c r="D705" s="467" t="s">
        <v>720</v>
      </c>
      <c r="E705" s="67" t="s">
        <v>713</v>
      </c>
      <c r="F705" s="67" t="s">
        <v>229</v>
      </c>
      <c r="G705" s="67" t="s">
        <v>514</v>
      </c>
      <c r="H705" s="67" t="s">
        <v>37</v>
      </c>
      <c r="I705" s="67" t="s">
        <v>601</v>
      </c>
      <c r="J705" s="67" t="s">
        <v>179</v>
      </c>
      <c r="K705" s="67">
        <v>4.0999999999999996</v>
      </c>
      <c r="L705" s="299">
        <f t="shared" si="37"/>
        <v>0</v>
      </c>
      <c r="M705" s="221" t="s">
        <v>631</v>
      </c>
      <c r="N705" s="220">
        <f>IF(OR(M705="nio",M705="eigen dienst"),0,IF(M705&gt;0,M705*K705/O705,0))*VLOOKUP(B705,'2-Kosten per locatie'!$A$14:$C$33,3,FALSE)</f>
        <v>0</v>
      </c>
      <c r="O705" s="300">
        <f>IF(OR(M705="nio",M705="eigen dienst"),0,IF(M705&gt;0,VLOOKUP(H705,'3-Productie normen'!A:J,VLOOKUP(M705,'3-Productie normen'!$B$34:$C$35,2,FALSE),FALSE)))</f>
        <v>0</v>
      </c>
      <c r="P705" s="301" t="str">
        <f>VLOOKUP(H705,'3-Productie normen'!A:L,12,FALSE)</f>
        <v>S</v>
      </c>
      <c r="Q705" s="301"/>
      <c r="S705" s="302">
        <f t="shared" si="38"/>
        <v>0</v>
      </c>
    </row>
    <row r="706" spans="1:19" ht="14.15" customHeight="1">
      <c r="A706" s="71">
        <v>706</v>
      </c>
      <c r="B706" s="67" t="s">
        <v>217</v>
      </c>
      <c r="C706" s="467" t="s">
        <v>627</v>
      </c>
      <c r="D706" s="467" t="s">
        <v>720</v>
      </c>
      <c r="E706" s="67" t="s">
        <v>713</v>
      </c>
      <c r="F706" s="67" t="s">
        <v>230</v>
      </c>
      <c r="G706" s="67" t="s">
        <v>522</v>
      </c>
      <c r="H706" s="67" t="s">
        <v>44</v>
      </c>
      <c r="I706" s="67" t="s">
        <v>70</v>
      </c>
      <c r="J706" s="67" t="s">
        <v>70</v>
      </c>
      <c r="K706" s="67">
        <v>1.5</v>
      </c>
      <c r="L706" s="299">
        <f t="shared" si="37"/>
        <v>0</v>
      </c>
      <c r="M706" s="221" t="s">
        <v>631</v>
      </c>
      <c r="N706" s="220">
        <f>IF(OR(M706="nio",M706="eigen dienst"),0,IF(M706&gt;0,M706*K706/O706,0))*VLOOKUP(B706,'2-Kosten per locatie'!$A$14:$C$33,3,FALSE)</f>
        <v>0</v>
      </c>
      <c r="O706" s="300">
        <f>IF(OR(M706="nio",M706="eigen dienst"),0,IF(M706&gt;0,VLOOKUP(H706,'3-Productie normen'!A:J,VLOOKUP(M706,'3-Productie normen'!$B$34:$C$35,2,FALSE),FALSE)))</f>
        <v>0</v>
      </c>
      <c r="P706" s="301" t="str">
        <f>VLOOKUP(H706,'3-Productie normen'!A:L,12,FALSE)</f>
        <v>V</v>
      </c>
      <c r="Q706" s="301"/>
      <c r="S706" s="302">
        <f t="shared" si="38"/>
        <v>0</v>
      </c>
    </row>
    <row r="707" spans="1:19" ht="14.15" customHeight="1">
      <c r="A707" s="71">
        <v>707</v>
      </c>
      <c r="B707" s="67" t="s">
        <v>217</v>
      </c>
      <c r="C707" s="467" t="s">
        <v>627</v>
      </c>
      <c r="D707" s="467" t="s">
        <v>720</v>
      </c>
      <c r="E707" s="67" t="s">
        <v>713</v>
      </c>
      <c r="F707" s="67" t="s">
        <v>231</v>
      </c>
      <c r="G707" s="67" t="s">
        <v>514</v>
      </c>
      <c r="H707" s="67" t="s">
        <v>37</v>
      </c>
      <c r="I707" s="67" t="s">
        <v>601</v>
      </c>
      <c r="J707" s="67" t="s">
        <v>179</v>
      </c>
      <c r="K707" s="67">
        <v>1.6</v>
      </c>
      <c r="L707" s="299">
        <f t="shared" si="37"/>
        <v>0</v>
      </c>
      <c r="M707" s="221" t="s">
        <v>631</v>
      </c>
      <c r="N707" s="220">
        <f>IF(OR(M707="nio",M707="eigen dienst"),0,IF(M707&gt;0,M707*K707/O707,0))*VLOOKUP(B707,'2-Kosten per locatie'!$A$14:$C$33,3,FALSE)</f>
        <v>0</v>
      </c>
      <c r="O707" s="300">
        <f>IF(OR(M707="nio",M707="eigen dienst"),0,IF(M707&gt;0,VLOOKUP(H707,'3-Productie normen'!A:J,VLOOKUP(M707,'3-Productie normen'!$B$34:$C$35,2,FALSE),FALSE)))</f>
        <v>0</v>
      </c>
      <c r="P707" s="301" t="str">
        <f>VLOOKUP(H707,'3-Productie normen'!A:L,12,FALSE)</f>
        <v>S</v>
      </c>
      <c r="Q707" s="301"/>
      <c r="S707" s="302">
        <f t="shared" si="38"/>
        <v>0</v>
      </c>
    </row>
    <row r="708" spans="1:19" ht="14.15" customHeight="1">
      <c r="A708" s="71">
        <v>708</v>
      </c>
      <c r="B708" s="67" t="s">
        <v>217</v>
      </c>
      <c r="C708" s="467" t="s">
        <v>627</v>
      </c>
      <c r="D708" s="467" t="s">
        <v>720</v>
      </c>
      <c r="E708" s="67" t="s">
        <v>713</v>
      </c>
      <c r="F708" s="67" t="s">
        <v>232</v>
      </c>
      <c r="G708" s="67" t="s">
        <v>518</v>
      </c>
      <c r="H708" s="67" t="s">
        <v>44</v>
      </c>
      <c r="I708" s="67" t="s">
        <v>70</v>
      </c>
      <c r="J708" s="67" t="s">
        <v>70</v>
      </c>
      <c r="K708" s="67">
        <v>7.5</v>
      </c>
      <c r="L708" s="299">
        <f t="shared" si="37"/>
        <v>0</v>
      </c>
      <c r="M708" s="221" t="s">
        <v>631</v>
      </c>
      <c r="N708" s="220">
        <f>IF(OR(M708="nio",M708="eigen dienst"),0,IF(M708&gt;0,M708*K708/O708,0))*VLOOKUP(B708,'2-Kosten per locatie'!$A$14:$C$33,3,FALSE)</f>
        <v>0</v>
      </c>
      <c r="O708" s="300">
        <f>IF(OR(M708="nio",M708="eigen dienst"),0,IF(M708&gt;0,VLOOKUP(H708,'3-Productie normen'!A:J,VLOOKUP(M708,'3-Productie normen'!$B$34:$C$35,2,FALSE),FALSE)))</f>
        <v>0</v>
      </c>
      <c r="P708" s="301" t="str">
        <f>VLOOKUP(H708,'3-Productie normen'!A:L,12,FALSE)</f>
        <v>V</v>
      </c>
      <c r="Q708" s="301"/>
      <c r="S708" s="302">
        <f t="shared" si="38"/>
        <v>0</v>
      </c>
    </row>
    <row r="709" spans="1:19" ht="14.15" customHeight="1">
      <c r="A709" s="71">
        <v>709</v>
      </c>
      <c r="B709" s="67" t="s">
        <v>217</v>
      </c>
      <c r="C709" s="467" t="s">
        <v>627</v>
      </c>
      <c r="D709" s="467" t="s">
        <v>720</v>
      </c>
      <c r="E709" s="67" t="s">
        <v>713</v>
      </c>
      <c r="F709" s="67" t="s">
        <v>233</v>
      </c>
      <c r="G709" s="67" t="s">
        <v>519</v>
      </c>
      <c r="H709" s="67" t="s">
        <v>41</v>
      </c>
      <c r="I709" s="67" t="s">
        <v>70</v>
      </c>
      <c r="J709" s="67" t="s">
        <v>70</v>
      </c>
      <c r="K709" s="67">
        <v>4.7</v>
      </c>
      <c r="L709" s="299">
        <f t="shared" si="37"/>
        <v>0</v>
      </c>
      <c r="M709" s="221" t="s">
        <v>631</v>
      </c>
      <c r="N709" s="220">
        <f>IF(OR(M709="nio",M709="eigen dienst"),0,IF(M709&gt;0,M709*K709/O709,0))*VLOOKUP(B709,'2-Kosten per locatie'!$A$14:$C$33,3,FALSE)</f>
        <v>0</v>
      </c>
      <c r="O709" s="300">
        <f>IF(OR(M709="nio",M709="eigen dienst"),0,IF(M709&gt;0,VLOOKUP(H709,'3-Productie normen'!A:J,VLOOKUP(M709,'3-Productie normen'!$B$34:$C$35,2,FALSE),FALSE)))</f>
        <v>0</v>
      </c>
      <c r="P709" s="301" t="str">
        <f>VLOOKUP(H709,'3-Productie normen'!A:L,12,FALSE)</f>
        <v>V</v>
      </c>
      <c r="Q709" s="301"/>
      <c r="S709" s="302">
        <f t="shared" si="38"/>
        <v>0</v>
      </c>
    </row>
    <row r="710" spans="1:19" ht="14.15" customHeight="1">
      <c r="A710" s="71">
        <v>710</v>
      </c>
      <c r="B710" s="67" t="s">
        <v>217</v>
      </c>
      <c r="C710" s="467" t="s">
        <v>627</v>
      </c>
      <c r="D710" s="467" t="s">
        <v>720</v>
      </c>
      <c r="E710" s="67" t="s">
        <v>713</v>
      </c>
      <c r="F710" s="67" t="s">
        <v>234</v>
      </c>
      <c r="G710" s="67" t="s">
        <v>575</v>
      </c>
      <c r="H710" s="67" t="s">
        <v>35</v>
      </c>
      <c r="I710" s="67" t="s">
        <v>70</v>
      </c>
      <c r="J710" s="67" t="s">
        <v>70</v>
      </c>
      <c r="K710" s="67">
        <v>14.4</v>
      </c>
      <c r="L710" s="299">
        <f t="shared" si="37"/>
        <v>0</v>
      </c>
      <c r="M710" s="221" t="s">
        <v>631</v>
      </c>
      <c r="N710" s="220">
        <f>IF(OR(M710="nio",M710="eigen dienst"),0,IF(M710&gt;0,M710*K710/O710,0))*VLOOKUP(B710,'2-Kosten per locatie'!$A$14:$C$33,3,FALSE)</f>
        <v>0</v>
      </c>
      <c r="O710" s="300">
        <f>IF(OR(M710="nio",M710="eigen dienst"),0,IF(M710&gt;0,VLOOKUP(H710,'3-Productie normen'!A:J,VLOOKUP(M710,'3-Productie normen'!$B$34:$C$35,2,FALSE),FALSE)))</f>
        <v>0</v>
      </c>
      <c r="P710" s="301" t="str">
        <f>VLOOKUP(H710,'3-Productie normen'!A:L,12,FALSE)</f>
        <v>B</v>
      </c>
      <c r="Q710" s="301"/>
      <c r="S710" s="302">
        <f t="shared" si="38"/>
        <v>0</v>
      </c>
    </row>
    <row r="711" spans="1:19" ht="14.15" customHeight="1">
      <c r="A711" s="71">
        <v>711</v>
      </c>
      <c r="B711" s="67" t="s">
        <v>217</v>
      </c>
      <c r="C711" s="467" t="s">
        <v>627</v>
      </c>
      <c r="D711" s="467" t="s">
        <v>720</v>
      </c>
      <c r="E711" s="67" t="s">
        <v>713</v>
      </c>
      <c r="F711" s="67" t="s">
        <v>235</v>
      </c>
      <c r="G711" s="67" t="s">
        <v>515</v>
      </c>
      <c r="H711" s="67" t="s">
        <v>609</v>
      </c>
      <c r="I711" s="67" t="s">
        <v>70</v>
      </c>
      <c r="J711" s="67" t="s">
        <v>70</v>
      </c>
      <c r="K711" s="67">
        <v>61.2</v>
      </c>
      <c r="L711" s="299">
        <f t="shared" si="37"/>
        <v>0</v>
      </c>
      <c r="M711" s="221" t="s">
        <v>631</v>
      </c>
      <c r="N711" s="220">
        <f>IF(OR(M711="nio",M711="eigen dienst"),0,IF(M711&gt;0,M711*K711/O711,0))*VLOOKUP(B711,'2-Kosten per locatie'!$A$14:$C$33,3,FALSE)</f>
        <v>0</v>
      </c>
      <c r="O711" s="300">
        <f>IF(OR(M711="nio",M711="eigen dienst"),0,IF(M711&gt;0,VLOOKUP(H711,'3-Productie normen'!A:J,VLOOKUP(M711,'3-Productie normen'!$B$34:$C$35,2,FALSE),FALSE)))</f>
        <v>0</v>
      </c>
      <c r="P711" s="301" t="str">
        <f>VLOOKUP(H711,'3-Productie normen'!A:L,12,FALSE)</f>
        <v>L</v>
      </c>
      <c r="Q711" s="301"/>
      <c r="S711" s="302">
        <f t="shared" si="38"/>
        <v>0</v>
      </c>
    </row>
    <row r="712" spans="1:19" ht="14.15" customHeight="1">
      <c r="A712" s="71">
        <v>712</v>
      </c>
      <c r="B712" s="67" t="s">
        <v>217</v>
      </c>
      <c r="C712" s="467" t="s">
        <v>627</v>
      </c>
      <c r="D712" s="467" t="s">
        <v>720</v>
      </c>
      <c r="E712" s="67" t="s">
        <v>713</v>
      </c>
      <c r="F712" s="67" t="s">
        <v>236</v>
      </c>
      <c r="G712" s="67" t="s">
        <v>593</v>
      </c>
      <c r="H712" s="67" t="s">
        <v>609</v>
      </c>
      <c r="I712" s="67" t="s">
        <v>70</v>
      </c>
      <c r="J712" s="67" t="s">
        <v>70</v>
      </c>
      <c r="K712" s="67">
        <v>15.2</v>
      </c>
      <c r="L712" s="299">
        <f t="shared" si="37"/>
        <v>0</v>
      </c>
      <c r="M712" s="221" t="s">
        <v>631</v>
      </c>
      <c r="N712" s="220">
        <f>IF(OR(M712="nio",M712="eigen dienst"),0,IF(M712&gt;0,M712*K712/O712,0))*VLOOKUP(B712,'2-Kosten per locatie'!$A$14:$C$33,3,FALSE)</f>
        <v>0</v>
      </c>
      <c r="O712" s="300">
        <f>IF(OR(M712="nio",M712="eigen dienst"),0,IF(M712&gt;0,VLOOKUP(H712,'3-Productie normen'!A:J,VLOOKUP(M712,'3-Productie normen'!$B$34:$C$35,2,FALSE),FALSE)))</f>
        <v>0</v>
      </c>
      <c r="P712" s="301" t="str">
        <f>VLOOKUP(H712,'3-Productie normen'!A:L,12,FALSE)</f>
        <v>L</v>
      </c>
      <c r="Q712" s="301"/>
      <c r="S712" s="302">
        <f t="shared" si="38"/>
        <v>0</v>
      </c>
    </row>
    <row r="713" spans="1:19" ht="14.15" customHeight="1">
      <c r="A713" s="71">
        <v>713</v>
      </c>
      <c r="B713" s="67" t="s">
        <v>217</v>
      </c>
      <c r="C713" s="467" t="s">
        <v>627</v>
      </c>
      <c r="D713" s="467" t="s">
        <v>720</v>
      </c>
      <c r="E713" s="67" t="s">
        <v>713</v>
      </c>
      <c r="F713" s="67" t="s">
        <v>237</v>
      </c>
      <c r="G713" s="67" t="s">
        <v>594</v>
      </c>
      <c r="H713" s="67" t="s">
        <v>520</v>
      </c>
      <c r="I713" s="67" t="s">
        <v>70</v>
      </c>
      <c r="J713" s="67" t="s">
        <v>70</v>
      </c>
      <c r="K713" s="67">
        <v>77.800000000000011</v>
      </c>
      <c r="L713" s="299">
        <f t="shared" si="37"/>
        <v>0</v>
      </c>
      <c r="M713" s="221" t="s">
        <v>631</v>
      </c>
      <c r="N713" s="220">
        <f>IF(OR(M713="nio",M713="eigen dienst"),0,IF(M713&gt;0,M713*K713/O713,0))*VLOOKUP(B713,'2-Kosten per locatie'!$A$14:$C$33,3,FALSE)</f>
        <v>0</v>
      </c>
      <c r="O713" s="300">
        <f>IF(OR(M713="nio",M713="eigen dienst"),0,IF(M713&gt;0,VLOOKUP(H713,'3-Productie normen'!A:J,VLOOKUP(M713,'3-Productie normen'!$B$34:$C$35,2,FALSE),FALSE)))</f>
        <v>0</v>
      </c>
      <c r="P713" s="301" t="str">
        <f>VLOOKUP(H713,'3-Productie normen'!A:L,12,FALSE)</f>
        <v>V</v>
      </c>
      <c r="Q713" s="301"/>
      <c r="S713" s="302">
        <f t="shared" si="38"/>
        <v>0</v>
      </c>
    </row>
    <row r="714" spans="1:19" ht="14.15" customHeight="1">
      <c r="A714" s="71">
        <v>714</v>
      </c>
      <c r="B714" s="67" t="s">
        <v>217</v>
      </c>
      <c r="C714" s="467" t="s">
        <v>627</v>
      </c>
      <c r="D714" s="467" t="s">
        <v>720</v>
      </c>
      <c r="E714" s="67" t="s">
        <v>713</v>
      </c>
      <c r="F714" s="67" t="s">
        <v>221</v>
      </c>
      <c r="G714" s="67" t="s">
        <v>578</v>
      </c>
      <c r="H714" s="67" t="s">
        <v>39</v>
      </c>
      <c r="I714" s="67" t="s">
        <v>70</v>
      </c>
      <c r="J714" s="67" t="s">
        <v>70</v>
      </c>
      <c r="K714" s="67">
        <v>27.5</v>
      </c>
      <c r="L714" s="299">
        <f t="shared" si="37"/>
        <v>0</v>
      </c>
      <c r="M714" s="221" t="s">
        <v>631</v>
      </c>
      <c r="N714" s="220">
        <f>IF(OR(M714="nio",M714="eigen dienst"),0,IF(M714&gt;0,M714*K714/O714,0))*VLOOKUP(B714,'2-Kosten per locatie'!$A$14:$C$33,3,FALSE)</f>
        <v>0</v>
      </c>
      <c r="O714" s="300">
        <f>IF(OR(M714="nio",M714="eigen dienst"),0,IF(M714&gt;0,VLOOKUP(H714,'3-Productie normen'!A:J,VLOOKUP(M714,'3-Productie normen'!$B$34:$C$35,2,FALSE),FALSE)))</f>
        <v>0</v>
      </c>
      <c r="P714" s="301" t="str">
        <f>VLOOKUP(H714,'3-Productie normen'!A:L,12,FALSE)</f>
        <v>V</v>
      </c>
      <c r="Q714" s="301"/>
      <c r="S714" s="302">
        <f t="shared" si="38"/>
        <v>0</v>
      </c>
    </row>
    <row r="715" spans="1:19" ht="14.15" customHeight="1">
      <c r="A715" s="71">
        <v>715</v>
      </c>
      <c r="B715" s="67" t="s">
        <v>217</v>
      </c>
      <c r="C715" s="467" t="s">
        <v>627</v>
      </c>
      <c r="D715" s="467" t="s">
        <v>720</v>
      </c>
      <c r="E715" s="67" t="s">
        <v>713</v>
      </c>
      <c r="F715" s="67" t="s">
        <v>238</v>
      </c>
      <c r="G715" s="67" t="s">
        <v>555</v>
      </c>
      <c r="H715" s="67" t="s">
        <v>46</v>
      </c>
      <c r="I715" s="67" t="s">
        <v>70</v>
      </c>
      <c r="J715" s="67" t="s">
        <v>70</v>
      </c>
      <c r="K715" s="67">
        <v>13.8</v>
      </c>
      <c r="L715" s="299">
        <f t="shared" si="37"/>
        <v>0</v>
      </c>
      <c r="M715" s="221" t="s">
        <v>631</v>
      </c>
      <c r="N715" s="220">
        <f>IF(OR(M715="nio",M715="eigen dienst"),0,IF(M715&gt;0,M715*K715/O715,0))*VLOOKUP(B715,'2-Kosten per locatie'!$A$14:$C$33,3,FALSE)</f>
        <v>0</v>
      </c>
      <c r="O715" s="300">
        <f>IF(OR(M715="nio",M715="eigen dienst"),0,IF(M715&gt;0,VLOOKUP(H715,'3-Productie normen'!A:J,VLOOKUP(M715,'3-Productie normen'!$B$34:$C$35,2,FALSE),FALSE)))</f>
        <v>0</v>
      </c>
      <c r="P715" s="301" t="str">
        <f>VLOOKUP(H715,'3-Productie normen'!A:L,12,FALSE)</f>
        <v>V</v>
      </c>
      <c r="Q715" s="301"/>
      <c r="S715" s="302">
        <f t="shared" si="38"/>
        <v>0</v>
      </c>
    </row>
    <row r="716" spans="1:19" ht="14.15" customHeight="1">
      <c r="A716" s="71">
        <v>716</v>
      </c>
      <c r="B716" s="67" t="s">
        <v>217</v>
      </c>
      <c r="C716" s="467" t="s">
        <v>627</v>
      </c>
      <c r="D716" s="467" t="s">
        <v>720</v>
      </c>
      <c r="E716" s="67" t="s">
        <v>713</v>
      </c>
      <c r="F716" s="67" t="s">
        <v>239</v>
      </c>
      <c r="G716" s="67" t="s">
        <v>514</v>
      </c>
      <c r="H716" s="67" t="s">
        <v>37</v>
      </c>
      <c r="I716" s="67" t="s">
        <v>601</v>
      </c>
      <c r="J716" s="67" t="s">
        <v>179</v>
      </c>
      <c r="K716" s="67">
        <v>4.7</v>
      </c>
      <c r="L716" s="299">
        <f t="shared" si="37"/>
        <v>0</v>
      </c>
      <c r="M716" s="221" t="s">
        <v>631</v>
      </c>
      <c r="N716" s="220">
        <f>IF(OR(M716="nio",M716="eigen dienst"),0,IF(M716&gt;0,M716*K716/O716,0))*VLOOKUP(B716,'2-Kosten per locatie'!$A$14:$C$33,3,FALSE)</f>
        <v>0</v>
      </c>
      <c r="O716" s="300">
        <f>IF(OR(M716="nio",M716="eigen dienst"),0,IF(M716&gt;0,VLOOKUP(H716,'3-Productie normen'!A:J,VLOOKUP(M716,'3-Productie normen'!$B$34:$C$35,2,FALSE),FALSE)))</f>
        <v>0</v>
      </c>
      <c r="P716" s="301" t="str">
        <f>VLOOKUP(H716,'3-Productie normen'!A:L,12,FALSE)</f>
        <v>S</v>
      </c>
      <c r="Q716" s="301"/>
      <c r="S716" s="302">
        <f t="shared" si="38"/>
        <v>0</v>
      </c>
    </row>
    <row r="717" spans="1:19" ht="14.15" customHeight="1">
      <c r="A717" s="71">
        <v>717</v>
      </c>
      <c r="B717" s="67" t="s">
        <v>217</v>
      </c>
      <c r="C717" s="467" t="s">
        <v>627</v>
      </c>
      <c r="D717" s="467" t="s">
        <v>720</v>
      </c>
      <c r="E717" s="67" t="s">
        <v>713</v>
      </c>
      <c r="F717" s="67" t="s">
        <v>240</v>
      </c>
      <c r="G717" s="67" t="s">
        <v>523</v>
      </c>
      <c r="H717" s="67" t="s">
        <v>630</v>
      </c>
      <c r="I717" s="67" t="s">
        <v>70</v>
      </c>
      <c r="J717" s="67" t="s">
        <v>70</v>
      </c>
      <c r="K717" s="67">
        <v>1.9</v>
      </c>
      <c r="L717" s="299"/>
      <c r="M717" s="221" t="s">
        <v>629</v>
      </c>
      <c r="N717" s="220">
        <f>IF(OR(M717="nio",M717="eigen dienst"),0,IF(M717&gt;0,M717*K717/O717,0))*VLOOKUP(B717,'2-Kosten per locatie'!$A$14:$C$33,3,FALSE)</f>
        <v>0</v>
      </c>
      <c r="O717" s="300">
        <f>IF(OR(M717="nio",M717="eigen dienst"),0,IF(M717&gt;0,VLOOKUP(H717,'3-Productie normen'!A:J,VLOOKUP(M717,'3-Productie normen'!$B$34:$C$35,2,FALSE),FALSE)))</f>
        <v>0</v>
      </c>
      <c r="P717" s="301">
        <f>VLOOKUP(H717,'3-Productie normen'!A:L,12,FALSE)</f>
        <v>0</v>
      </c>
      <c r="Q717" s="301"/>
      <c r="S717" s="302">
        <f t="shared" si="38"/>
        <v>0</v>
      </c>
    </row>
    <row r="718" spans="1:19" ht="14.15" customHeight="1">
      <c r="A718" s="71">
        <v>718</v>
      </c>
      <c r="B718" s="67" t="s">
        <v>217</v>
      </c>
      <c r="C718" s="467" t="s">
        <v>627</v>
      </c>
      <c r="D718" s="467" t="s">
        <v>720</v>
      </c>
      <c r="E718" s="67" t="s">
        <v>713</v>
      </c>
      <c r="F718" s="67" t="s">
        <v>222</v>
      </c>
      <c r="G718" s="67" t="s">
        <v>513</v>
      </c>
      <c r="H718" s="67" t="s">
        <v>45</v>
      </c>
      <c r="I718" s="67" t="s">
        <v>599</v>
      </c>
      <c r="J718" s="67" t="s">
        <v>200</v>
      </c>
      <c r="K718" s="67">
        <v>90.02</v>
      </c>
      <c r="L718" s="299">
        <f t="shared" si="37"/>
        <v>0</v>
      </c>
      <c r="M718" s="221" t="s">
        <v>631</v>
      </c>
      <c r="N718" s="220">
        <f>IF(OR(M718="nio",M718="eigen dienst"),0,IF(M718&gt;0,M718*K718/O718,0))*VLOOKUP(B718,'2-Kosten per locatie'!$A$14:$C$33,3,FALSE)</f>
        <v>0</v>
      </c>
      <c r="O718" s="300">
        <f>IF(OR(M718="nio",M718="eigen dienst"),0,IF(M718&gt;0,VLOOKUP(H718,'3-Productie normen'!A:J,VLOOKUP(M718,'3-Productie normen'!$B$34:$C$35,2,FALSE),FALSE)))</f>
        <v>0</v>
      </c>
      <c r="P718" s="301" t="str">
        <f>VLOOKUP(H718,'3-Productie normen'!A:L,12,FALSE)</f>
        <v>L</v>
      </c>
      <c r="Q718" s="301"/>
      <c r="S718" s="302">
        <f t="shared" si="38"/>
        <v>0</v>
      </c>
    </row>
    <row r="719" spans="1:19" ht="14.15" customHeight="1">
      <c r="A719" s="71">
        <v>719</v>
      </c>
      <c r="B719" s="67" t="s">
        <v>217</v>
      </c>
      <c r="C719" s="467" t="s">
        <v>627</v>
      </c>
      <c r="D719" s="467" t="s">
        <v>720</v>
      </c>
      <c r="E719" s="67" t="s">
        <v>713</v>
      </c>
      <c r="F719" s="67" t="s">
        <v>223</v>
      </c>
      <c r="G719" s="67" t="s">
        <v>515</v>
      </c>
      <c r="H719" s="67" t="s">
        <v>609</v>
      </c>
      <c r="I719" s="67" t="s">
        <v>70</v>
      </c>
      <c r="J719" s="67" t="s">
        <v>70</v>
      </c>
      <c r="K719" s="67">
        <v>73.2</v>
      </c>
      <c r="L719" s="299">
        <f t="shared" si="37"/>
        <v>0</v>
      </c>
      <c r="M719" s="221" t="s">
        <v>631</v>
      </c>
      <c r="N719" s="220">
        <f>IF(OR(M719="nio",M719="eigen dienst"),0,IF(M719&gt;0,M719*K719/O719,0))*VLOOKUP(B719,'2-Kosten per locatie'!$A$14:$C$33,3,FALSE)</f>
        <v>0</v>
      </c>
      <c r="O719" s="300">
        <f>IF(OR(M719="nio",M719="eigen dienst"),0,IF(M719&gt;0,VLOOKUP(H719,'3-Productie normen'!A:J,VLOOKUP(M719,'3-Productie normen'!$B$34:$C$35,2,FALSE),FALSE)))</f>
        <v>0</v>
      </c>
      <c r="P719" s="301" t="str">
        <f>VLOOKUP(H719,'3-Productie normen'!A:L,12,FALSE)</f>
        <v>L</v>
      </c>
      <c r="Q719" s="301"/>
      <c r="S719" s="302">
        <f t="shared" si="38"/>
        <v>0</v>
      </c>
    </row>
    <row r="720" spans="1:19" ht="14.15" customHeight="1">
      <c r="A720" s="71">
        <v>720</v>
      </c>
      <c r="B720" s="67" t="s">
        <v>217</v>
      </c>
      <c r="C720" s="467" t="s">
        <v>627</v>
      </c>
      <c r="D720" s="467" t="s">
        <v>720</v>
      </c>
      <c r="E720" s="67" t="s">
        <v>713</v>
      </c>
      <c r="F720" s="67" t="s">
        <v>265</v>
      </c>
      <c r="G720" s="67" t="s">
        <v>518</v>
      </c>
      <c r="H720" s="67" t="s">
        <v>44</v>
      </c>
      <c r="I720" s="67" t="s">
        <v>70</v>
      </c>
      <c r="J720" s="67" t="s">
        <v>70</v>
      </c>
      <c r="K720" s="67">
        <v>13.1</v>
      </c>
      <c r="L720" s="299">
        <f t="shared" si="37"/>
        <v>0</v>
      </c>
      <c r="M720" s="221" t="s">
        <v>631</v>
      </c>
      <c r="N720" s="220">
        <f>IF(OR(M720="nio",M720="eigen dienst"),0,IF(M720&gt;0,M720*K720/O720,0))*VLOOKUP(B720,'2-Kosten per locatie'!$A$14:$C$33,3,FALSE)</f>
        <v>0</v>
      </c>
      <c r="O720" s="300">
        <f>IF(OR(M720="nio",M720="eigen dienst"),0,IF(M720&gt;0,VLOOKUP(H720,'3-Productie normen'!A:J,VLOOKUP(M720,'3-Productie normen'!$B$34:$C$35,2,FALSE),FALSE)))</f>
        <v>0</v>
      </c>
      <c r="P720" s="301" t="str">
        <f>VLOOKUP(H720,'3-Productie normen'!A:L,12,FALSE)</f>
        <v>V</v>
      </c>
      <c r="Q720" s="301"/>
      <c r="S720" s="302">
        <f t="shared" si="38"/>
        <v>0</v>
      </c>
    </row>
    <row r="721" spans="1:19" ht="14.15" customHeight="1">
      <c r="A721" s="71">
        <v>721</v>
      </c>
      <c r="B721" s="67" t="s">
        <v>217</v>
      </c>
      <c r="C721" s="467" t="s">
        <v>627</v>
      </c>
      <c r="D721" s="467" t="s">
        <v>720</v>
      </c>
      <c r="E721" s="67" t="s">
        <v>713</v>
      </c>
      <c r="F721" s="67" t="s">
        <v>224</v>
      </c>
      <c r="G721" s="67" t="s">
        <v>514</v>
      </c>
      <c r="H721" s="67" t="s">
        <v>37</v>
      </c>
      <c r="I721" s="67" t="s">
        <v>601</v>
      </c>
      <c r="J721" s="67" t="s">
        <v>179</v>
      </c>
      <c r="K721" s="67">
        <v>4.5999999999999996</v>
      </c>
      <c r="L721" s="299">
        <f t="shared" si="37"/>
        <v>0</v>
      </c>
      <c r="M721" s="221" t="s">
        <v>631</v>
      </c>
      <c r="N721" s="220">
        <f>IF(OR(M721="nio",M721="eigen dienst"),0,IF(M721&gt;0,M721*K721/O721,0))*VLOOKUP(B721,'2-Kosten per locatie'!$A$14:$C$33,3,FALSE)</f>
        <v>0</v>
      </c>
      <c r="O721" s="300">
        <f>IF(OR(M721="nio",M721="eigen dienst"),0,IF(M721&gt;0,VLOOKUP(H721,'3-Productie normen'!A:J,VLOOKUP(M721,'3-Productie normen'!$B$34:$C$35,2,FALSE),FALSE)))</f>
        <v>0</v>
      </c>
      <c r="P721" s="301" t="str">
        <f>VLOOKUP(H721,'3-Productie normen'!A:L,12,FALSE)</f>
        <v>S</v>
      </c>
      <c r="Q721" s="301"/>
      <c r="S721" s="302">
        <f t="shared" si="38"/>
        <v>0</v>
      </c>
    </row>
    <row r="722" spans="1:19" ht="14.15" customHeight="1">
      <c r="A722" s="71">
        <v>722</v>
      </c>
      <c r="B722" s="67" t="s">
        <v>217</v>
      </c>
      <c r="C722" s="467" t="s">
        <v>627</v>
      </c>
      <c r="D722" s="467" t="s">
        <v>720</v>
      </c>
      <c r="E722" s="67" t="s">
        <v>713</v>
      </c>
      <c r="F722" s="67" t="s">
        <v>225</v>
      </c>
      <c r="G722" s="67" t="s">
        <v>515</v>
      </c>
      <c r="H722" s="67" t="s">
        <v>609</v>
      </c>
      <c r="I722" s="67" t="s">
        <v>70</v>
      </c>
      <c r="J722" s="67" t="s">
        <v>70</v>
      </c>
      <c r="K722" s="67">
        <v>58.8</v>
      </c>
      <c r="L722" s="299">
        <f t="shared" si="37"/>
        <v>0</v>
      </c>
      <c r="M722" s="221" t="s">
        <v>631</v>
      </c>
      <c r="N722" s="220">
        <f>IF(OR(M722="nio",M722="eigen dienst"),0,IF(M722&gt;0,M722*K722/O722,0))*VLOOKUP(B722,'2-Kosten per locatie'!$A$14:$C$33,3,FALSE)</f>
        <v>0</v>
      </c>
      <c r="O722" s="300">
        <f>IF(OR(M722="nio",M722="eigen dienst"),0,IF(M722&gt;0,VLOOKUP(H722,'3-Productie normen'!A:J,VLOOKUP(M722,'3-Productie normen'!$B$34:$C$35,2,FALSE),FALSE)))</f>
        <v>0</v>
      </c>
      <c r="P722" s="301" t="str">
        <f>VLOOKUP(H722,'3-Productie normen'!A:L,12,FALSE)</f>
        <v>L</v>
      </c>
      <c r="Q722" s="301"/>
      <c r="S722" s="302">
        <f t="shared" si="38"/>
        <v>0</v>
      </c>
    </row>
    <row r="723" spans="1:19" ht="14.15" customHeight="1">
      <c r="A723" s="71">
        <v>723</v>
      </c>
      <c r="B723" s="67" t="s">
        <v>217</v>
      </c>
      <c r="C723" s="467" t="s">
        <v>627</v>
      </c>
      <c r="D723" s="467" t="s">
        <v>720</v>
      </c>
      <c r="E723" s="67" t="s">
        <v>713</v>
      </c>
      <c r="F723" s="67" t="s">
        <v>226</v>
      </c>
      <c r="G723" s="67" t="s">
        <v>516</v>
      </c>
      <c r="H723" s="67" t="s">
        <v>35</v>
      </c>
      <c r="I723" s="67" t="s">
        <v>70</v>
      </c>
      <c r="J723" s="67" t="s">
        <v>70</v>
      </c>
      <c r="K723" s="67">
        <v>21</v>
      </c>
      <c r="L723" s="299">
        <f t="shared" si="37"/>
        <v>0</v>
      </c>
      <c r="M723" s="221" t="s">
        <v>631</v>
      </c>
      <c r="N723" s="220">
        <f>IF(OR(M723="nio",M723="eigen dienst"),0,IF(M723&gt;0,M723*K723/O723,0))*VLOOKUP(B723,'2-Kosten per locatie'!$A$14:$C$33,3,FALSE)</f>
        <v>0</v>
      </c>
      <c r="O723" s="300">
        <f>IF(OR(M723="nio",M723="eigen dienst"),0,IF(M723&gt;0,VLOOKUP(H723,'3-Productie normen'!A:J,VLOOKUP(M723,'3-Productie normen'!$B$34:$C$35,2,FALSE),FALSE)))</f>
        <v>0</v>
      </c>
      <c r="P723" s="301" t="str">
        <f>VLOOKUP(H723,'3-Productie normen'!A:L,12,FALSE)</f>
        <v>B</v>
      </c>
      <c r="Q723" s="301"/>
      <c r="S723" s="302">
        <f t="shared" si="38"/>
        <v>0</v>
      </c>
    </row>
    <row r="724" spans="1:19" ht="14.15" customHeight="1">
      <c r="A724" s="71">
        <v>724</v>
      </c>
      <c r="B724" s="67" t="s">
        <v>217</v>
      </c>
      <c r="C724" s="467" t="s">
        <v>627</v>
      </c>
      <c r="D724" s="467" t="s">
        <v>720</v>
      </c>
      <c r="E724" s="67" t="s">
        <v>713</v>
      </c>
      <c r="F724" s="67" t="s">
        <v>227</v>
      </c>
      <c r="G724" s="67" t="s">
        <v>515</v>
      </c>
      <c r="H724" s="67" t="s">
        <v>609</v>
      </c>
      <c r="I724" s="67" t="s">
        <v>70</v>
      </c>
      <c r="J724" s="67" t="s">
        <v>70</v>
      </c>
      <c r="K724" s="67">
        <v>67.599999999999994</v>
      </c>
      <c r="L724" s="299">
        <f t="shared" si="37"/>
        <v>0</v>
      </c>
      <c r="M724" s="221" t="s">
        <v>631</v>
      </c>
      <c r="N724" s="220">
        <f>IF(OR(M724="nio",M724="eigen dienst"),0,IF(M724&gt;0,M724*K724/O724,0))*VLOOKUP(B724,'2-Kosten per locatie'!$A$14:$C$33,3,FALSE)</f>
        <v>0</v>
      </c>
      <c r="O724" s="300">
        <f>IF(OR(M724="nio",M724="eigen dienst"),0,IF(M724&gt;0,VLOOKUP(H724,'3-Productie normen'!A:J,VLOOKUP(M724,'3-Productie normen'!$B$34:$C$35,2,FALSE),FALSE)))</f>
        <v>0</v>
      </c>
      <c r="P724" s="301" t="str">
        <f>VLOOKUP(H724,'3-Productie normen'!A:L,12,FALSE)</f>
        <v>L</v>
      </c>
      <c r="Q724" s="301"/>
      <c r="S724" s="302">
        <f t="shared" si="38"/>
        <v>0</v>
      </c>
    </row>
    <row r="725" spans="1:19" ht="14.15" customHeight="1">
      <c r="A725" s="71">
        <v>725</v>
      </c>
      <c r="B725" s="418" t="s">
        <v>207</v>
      </c>
      <c r="C725" s="467" t="s">
        <v>715</v>
      </c>
      <c r="D725" s="467" t="s">
        <v>720</v>
      </c>
      <c r="E725" s="67" t="s">
        <v>713</v>
      </c>
      <c r="F725" s="468" t="s">
        <v>220</v>
      </c>
      <c r="G725" s="67" t="s">
        <v>47</v>
      </c>
      <c r="H725" s="67" t="s">
        <v>47</v>
      </c>
      <c r="I725" s="67" t="s">
        <v>70</v>
      </c>
      <c r="J725" s="67" t="s">
        <v>70</v>
      </c>
      <c r="K725" s="67">
        <v>17.100000000000001</v>
      </c>
      <c r="L725" s="299">
        <f t="shared" ref="L725:L777" si="39">SUM(M725:M725)</f>
        <v>200</v>
      </c>
      <c r="M725" s="221">
        <v>200</v>
      </c>
      <c r="N725" s="220" t="e">
        <f>IF(OR(M725="nio",M725="eigen dienst"),0,IF(M725&gt;0,M725*K725/O725,0))*VLOOKUP(B725,'2-Kosten per locatie'!$A$14:$C$33,3,FALSE)</f>
        <v>#DIV/0!</v>
      </c>
      <c r="O725" s="300">
        <f>IF(OR(M725="nio",M725="eigen dienst"),0,IF(M725&gt;0,VLOOKUP(H725,'3-Productie normen'!A:J,VLOOKUP(M725,'3-Productie normen'!$B$34:$C$35,2,FALSE),FALSE)))</f>
        <v>0</v>
      </c>
      <c r="P725" s="301" t="str">
        <f>VLOOKUP(H725,'3-Productie normen'!A:L,12,FALSE)</f>
        <v>V</v>
      </c>
      <c r="Q725" s="301"/>
      <c r="S725" s="302">
        <f t="shared" ref="S725:S777" si="40">L725*K725</f>
        <v>3420.0000000000005</v>
      </c>
    </row>
    <row r="726" spans="1:19" ht="14.15" customHeight="1">
      <c r="A726" s="71">
        <v>726</v>
      </c>
      <c r="B726" s="418" t="s">
        <v>207</v>
      </c>
      <c r="C726" s="467" t="s">
        <v>715</v>
      </c>
      <c r="D726" s="467" t="s">
        <v>720</v>
      </c>
      <c r="E726" s="67" t="s">
        <v>713</v>
      </c>
      <c r="F726" s="468" t="s">
        <v>221</v>
      </c>
      <c r="G726" s="67" t="s">
        <v>527</v>
      </c>
      <c r="H726" s="67" t="s">
        <v>630</v>
      </c>
      <c r="I726" s="67" t="s">
        <v>72</v>
      </c>
      <c r="J726" s="67" t="s">
        <v>200</v>
      </c>
      <c r="K726" s="67"/>
      <c r="L726" s="299">
        <f t="shared" si="39"/>
        <v>0</v>
      </c>
      <c r="M726" s="221" t="s">
        <v>629</v>
      </c>
      <c r="N726" s="220">
        <f>IF(OR(M726="nio",M726="eigen dienst"),0,IF(M726&gt;0,M726*K726/O726,0))*VLOOKUP(B726,'2-Kosten per locatie'!$A$14:$C$33,3,FALSE)</f>
        <v>0</v>
      </c>
      <c r="O726" s="300">
        <f>IF(OR(M726="nio",M726="eigen dienst"),0,IF(M726&gt;0,VLOOKUP(H726,'3-Productie normen'!A:J,VLOOKUP(M726,'3-Productie normen'!$B$34:$C$35,2,FALSE),FALSE)))</f>
        <v>0</v>
      </c>
      <c r="P726" s="301">
        <f>VLOOKUP(H726,'3-Productie normen'!A:L,12,FALSE)</f>
        <v>0</v>
      </c>
      <c r="Q726" s="301"/>
      <c r="S726" s="302">
        <f t="shared" si="40"/>
        <v>0</v>
      </c>
    </row>
    <row r="727" spans="1:19" ht="14.15" customHeight="1">
      <c r="A727" s="71">
        <v>727</v>
      </c>
      <c r="B727" s="418" t="s">
        <v>207</v>
      </c>
      <c r="C727" s="467" t="s">
        <v>715</v>
      </c>
      <c r="D727" s="467" t="s">
        <v>720</v>
      </c>
      <c r="E727" s="67" t="s">
        <v>713</v>
      </c>
      <c r="F727" s="468" t="s">
        <v>222</v>
      </c>
      <c r="G727" s="67" t="s">
        <v>683</v>
      </c>
      <c r="H727" s="67" t="s">
        <v>520</v>
      </c>
      <c r="I727" s="67" t="s">
        <v>70</v>
      </c>
      <c r="J727" s="67" t="s">
        <v>70</v>
      </c>
      <c r="K727" s="67">
        <v>200</v>
      </c>
      <c r="L727" s="299">
        <f t="shared" si="39"/>
        <v>200</v>
      </c>
      <c r="M727" s="221">
        <v>200</v>
      </c>
      <c r="N727" s="220" t="e">
        <f>IF(OR(M727="nio",M727="eigen dienst"),0,IF(M727&gt;0,M727*K727/O727,0))*VLOOKUP(B727,'2-Kosten per locatie'!$A$14:$C$33,3,FALSE)</f>
        <v>#DIV/0!</v>
      </c>
      <c r="O727" s="300">
        <f>IF(OR(M727="nio",M727="eigen dienst"),0,IF(M727&gt;0,VLOOKUP(H727,'3-Productie normen'!A:J,VLOOKUP(M727,'3-Productie normen'!$B$34:$C$35,2,FALSE),FALSE)))</f>
        <v>0</v>
      </c>
      <c r="P727" s="301" t="str">
        <f>VLOOKUP(H727,'3-Productie normen'!A:L,12,FALSE)</f>
        <v>V</v>
      </c>
      <c r="Q727" s="301"/>
      <c r="S727" s="302">
        <f t="shared" si="40"/>
        <v>40000</v>
      </c>
    </row>
    <row r="728" spans="1:19" ht="14.15" customHeight="1">
      <c r="A728" s="71">
        <v>728</v>
      </c>
      <c r="B728" s="418" t="s">
        <v>207</v>
      </c>
      <c r="C728" s="467" t="s">
        <v>715</v>
      </c>
      <c r="D728" s="467" t="s">
        <v>720</v>
      </c>
      <c r="E728" s="67" t="s">
        <v>713</v>
      </c>
      <c r="F728" s="468" t="s">
        <v>223</v>
      </c>
      <c r="G728" s="67" t="s">
        <v>513</v>
      </c>
      <c r="H728" s="67" t="s">
        <v>45</v>
      </c>
      <c r="I728" s="67" t="s">
        <v>599</v>
      </c>
      <c r="J728" s="67" t="s">
        <v>200</v>
      </c>
      <c r="K728" s="67">
        <v>82.4</v>
      </c>
      <c r="L728" s="299">
        <f t="shared" si="39"/>
        <v>200</v>
      </c>
      <c r="M728" s="221">
        <v>200</v>
      </c>
      <c r="N728" s="220" t="e">
        <f>IF(OR(M728="nio",M728="eigen dienst"),0,IF(M728&gt;0,M728*K728/O728,0))*VLOOKUP(B728,'2-Kosten per locatie'!$A$14:$C$33,3,FALSE)</f>
        <v>#DIV/0!</v>
      </c>
      <c r="O728" s="300">
        <f>IF(OR(M728="nio",M728="eigen dienst"),0,IF(M728&gt;0,VLOOKUP(H728,'3-Productie normen'!A:J,VLOOKUP(M728,'3-Productie normen'!$B$34:$C$35,2,FALSE),FALSE)))</f>
        <v>0</v>
      </c>
      <c r="P728" s="301" t="str">
        <f>VLOOKUP(H728,'3-Productie normen'!A:L,12,FALSE)</f>
        <v>L</v>
      </c>
      <c r="Q728" s="301"/>
      <c r="S728" s="302">
        <f t="shared" si="40"/>
        <v>16480</v>
      </c>
    </row>
    <row r="729" spans="1:19" ht="14.15" customHeight="1">
      <c r="A729" s="71">
        <v>729</v>
      </c>
      <c r="B729" s="418" t="s">
        <v>207</v>
      </c>
      <c r="C729" s="467" t="s">
        <v>715</v>
      </c>
      <c r="D729" s="467" t="s">
        <v>720</v>
      </c>
      <c r="E729" s="67" t="s">
        <v>713</v>
      </c>
      <c r="F729" s="468" t="s">
        <v>265</v>
      </c>
      <c r="G729" s="67" t="s">
        <v>523</v>
      </c>
      <c r="H729" s="67" t="s">
        <v>630</v>
      </c>
      <c r="I729" s="67" t="s">
        <v>72</v>
      </c>
      <c r="J729" s="67" t="s">
        <v>200</v>
      </c>
      <c r="K729" s="67"/>
      <c r="L729" s="299">
        <f t="shared" si="39"/>
        <v>0</v>
      </c>
      <c r="M729" s="221" t="s">
        <v>629</v>
      </c>
      <c r="N729" s="220">
        <f>IF(OR(M729="nio",M729="eigen dienst"),0,IF(M729&gt;0,M729*K729/O729,0))*VLOOKUP(B729,'2-Kosten per locatie'!$A$14:$C$33,3,FALSE)</f>
        <v>0</v>
      </c>
      <c r="O729" s="300">
        <f>IF(OR(M729="nio",M729="eigen dienst"),0,IF(M729&gt;0,VLOOKUP(H729,'3-Productie normen'!A:J,VLOOKUP(M729,'3-Productie normen'!$B$34:$C$35,2,FALSE),FALSE)))</f>
        <v>0</v>
      </c>
      <c r="P729" s="301">
        <f>VLOOKUP(H729,'3-Productie normen'!A:L,12,FALSE)</f>
        <v>0</v>
      </c>
      <c r="Q729" s="301"/>
      <c r="S729" s="302">
        <f t="shared" si="40"/>
        <v>0</v>
      </c>
    </row>
    <row r="730" spans="1:19" ht="14.15" customHeight="1">
      <c r="A730" s="71">
        <v>730</v>
      </c>
      <c r="B730" s="418" t="s">
        <v>207</v>
      </c>
      <c r="C730" s="467" t="s">
        <v>715</v>
      </c>
      <c r="D730" s="467" t="s">
        <v>720</v>
      </c>
      <c r="E730" s="67" t="s">
        <v>713</v>
      </c>
      <c r="F730" s="468" t="s">
        <v>224</v>
      </c>
      <c r="G730" s="67" t="s">
        <v>512</v>
      </c>
      <c r="H730" s="67" t="s">
        <v>39</v>
      </c>
      <c r="I730" s="67" t="s">
        <v>70</v>
      </c>
      <c r="J730" s="67" t="s">
        <v>70</v>
      </c>
      <c r="K730" s="67">
        <v>38.5</v>
      </c>
      <c r="L730" s="299">
        <f t="shared" si="39"/>
        <v>200</v>
      </c>
      <c r="M730" s="221">
        <v>200</v>
      </c>
      <c r="N730" s="220" t="e">
        <f>IF(OR(M730="nio",M730="eigen dienst"),0,IF(M730&gt;0,M730*K730/O730,0))*VLOOKUP(B730,'2-Kosten per locatie'!$A$14:$C$33,3,FALSE)</f>
        <v>#DIV/0!</v>
      </c>
      <c r="O730" s="300">
        <f>IF(OR(M730="nio",M730="eigen dienst"),0,IF(M730&gt;0,VLOOKUP(H730,'3-Productie normen'!A:J,VLOOKUP(M730,'3-Productie normen'!$B$34:$C$35,2,FALSE),FALSE)))</f>
        <v>0</v>
      </c>
      <c r="P730" s="301" t="str">
        <f>VLOOKUP(H730,'3-Productie normen'!A:L,12,FALSE)</f>
        <v>V</v>
      </c>
      <c r="Q730" s="301"/>
      <c r="S730" s="302">
        <f t="shared" si="40"/>
        <v>7700</v>
      </c>
    </row>
    <row r="731" spans="1:19" ht="14.15" customHeight="1">
      <c r="A731" s="71">
        <v>731</v>
      </c>
      <c r="B731" s="418" t="s">
        <v>207</v>
      </c>
      <c r="C731" s="467" t="s">
        <v>715</v>
      </c>
      <c r="D731" s="467" t="s">
        <v>720</v>
      </c>
      <c r="E731" s="67" t="s">
        <v>713</v>
      </c>
      <c r="F731" s="468" t="s">
        <v>225</v>
      </c>
      <c r="G731" s="67" t="s">
        <v>560</v>
      </c>
      <c r="H731" s="67" t="s">
        <v>35</v>
      </c>
      <c r="I731" s="67" t="s">
        <v>70</v>
      </c>
      <c r="J731" s="67" t="s">
        <v>70</v>
      </c>
      <c r="K731" s="67">
        <v>30.1</v>
      </c>
      <c r="L731" s="299">
        <f t="shared" si="39"/>
        <v>200</v>
      </c>
      <c r="M731" s="221">
        <v>200</v>
      </c>
      <c r="N731" s="220" t="e">
        <f>IF(OR(M731="nio",M731="eigen dienst"),0,IF(M731&gt;0,M731*K731/O731,0))*VLOOKUP(B731,'2-Kosten per locatie'!$A$14:$C$33,3,FALSE)</f>
        <v>#DIV/0!</v>
      </c>
      <c r="O731" s="300">
        <f>IF(OR(M731="nio",M731="eigen dienst"),0,IF(M731&gt;0,VLOOKUP(H731,'3-Productie normen'!A:J,VLOOKUP(M731,'3-Productie normen'!$B$34:$C$35,2,FALSE),FALSE)))</f>
        <v>0</v>
      </c>
      <c r="P731" s="301" t="str">
        <f>VLOOKUP(H731,'3-Productie normen'!A:L,12,FALSE)</f>
        <v>B</v>
      </c>
      <c r="Q731" s="301"/>
      <c r="S731" s="302">
        <f t="shared" si="40"/>
        <v>6020</v>
      </c>
    </row>
    <row r="732" spans="1:19" ht="14.15" customHeight="1">
      <c r="A732" s="71">
        <v>732</v>
      </c>
      <c r="B732" s="418" t="s">
        <v>207</v>
      </c>
      <c r="C732" s="467" t="s">
        <v>715</v>
      </c>
      <c r="D732" s="467" t="s">
        <v>720</v>
      </c>
      <c r="E732" s="67" t="s">
        <v>713</v>
      </c>
      <c r="F732" s="468" t="s">
        <v>226</v>
      </c>
      <c r="G732" s="67" t="s">
        <v>514</v>
      </c>
      <c r="H732" s="67" t="s">
        <v>37</v>
      </c>
      <c r="I732" s="67" t="s">
        <v>601</v>
      </c>
      <c r="J732" s="67" t="s">
        <v>179</v>
      </c>
      <c r="K732" s="67">
        <v>20.3</v>
      </c>
      <c r="L732" s="299">
        <f t="shared" si="39"/>
        <v>200</v>
      </c>
      <c r="M732" s="221">
        <v>200</v>
      </c>
      <c r="N732" s="220" t="e">
        <f>IF(OR(M732="nio",M732="eigen dienst"),0,IF(M732&gt;0,M732*K732/O732,0))*VLOOKUP(B732,'2-Kosten per locatie'!$A$14:$C$33,3,FALSE)</f>
        <v>#DIV/0!</v>
      </c>
      <c r="O732" s="300">
        <f>IF(OR(M732="nio",M732="eigen dienst"),0,IF(M732&gt;0,VLOOKUP(H732,'3-Productie normen'!A:J,VLOOKUP(M732,'3-Productie normen'!$B$34:$C$35,2,FALSE),FALSE)))</f>
        <v>0</v>
      </c>
      <c r="P732" s="301" t="str">
        <f>VLOOKUP(H732,'3-Productie normen'!A:L,12,FALSE)</f>
        <v>S</v>
      </c>
      <c r="Q732" s="301"/>
      <c r="S732" s="302">
        <f t="shared" si="40"/>
        <v>4060</v>
      </c>
    </row>
    <row r="733" spans="1:19" ht="14.15" customHeight="1">
      <c r="A733" s="71">
        <v>733</v>
      </c>
      <c r="B733" s="418" t="s">
        <v>207</v>
      </c>
      <c r="C733" s="467" t="s">
        <v>715</v>
      </c>
      <c r="D733" s="467" t="s">
        <v>720</v>
      </c>
      <c r="E733" s="67" t="s">
        <v>713</v>
      </c>
      <c r="F733" s="468" t="s">
        <v>227</v>
      </c>
      <c r="G733" s="67" t="s">
        <v>515</v>
      </c>
      <c r="H733" s="67" t="s">
        <v>609</v>
      </c>
      <c r="I733" s="67" t="s">
        <v>70</v>
      </c>
      <c r="J733" s="67" t="s">
        <v>70</v>
      </c>
      <c r="K733" s="67">
        <v>60.6</v>
      </c>
      <c r="L733" s="299">
        <f t="shared" si="39"/>
        <v>200</v>
      </c>
      <c r="M733" s="221">
        <v>200</v>
      </c>
      <c r="N733" s="220" t="e">
        <f>IF(OR(M733="nio",M733="eigen dienst"),0,IF(M733&gt;0,M733*K733/O733,0))*VLOOKUP(B733,'2-Kosten per locatie'!$A$14:$C$33,3,FALSE)</f>
        <v>#DIV/0!</v>
      </c>
      <c r="O733" s="300">
        <f>IF(OR(M733="nio",M733="eigen dienst"),0,IF(M733&gt;0,VLOOKUP(H733,'3-Productie normen'!A:J,VLOOKUP(M733,'3-Productie normen'!$B$34:$C$35,2,FALSE),FALSE)))</f>
        <v>0</v>
      </c>
      <c r="P733" s="301" t="str">
        <f>VLOOKUP(H733,'3-Productie normen'!A:L,12,FALSE)</f>
        <v>L</v>
      </c>
      <c r="Q733" s="301"/>
      <c r="S733" s="302">
        <f t="shared" si="40"/>
        <v>12120</v>
      </c>
    </row>
    <row r="734" spans="1:19" ht="14.15" customHeight="1">
      <c r="A734" s="71">
        <v>734</v>
      </c>
      <c r="B734" s="418" t="s">
        <v>207</v>
      </c>
      <c r="C734" s="467" t="s">
        <v>715</v>
      </c>
      <c r="D734" s="467" t="s">
        <v>720</v>
      </c>
      <c r="E734" s="67" t="s">
        <v>713</v>
      </c>
      <c r="F734" s="468" t="s">
        <v>228</v>
      </c>
      <c r="G734" s="67" t="s">
        <v>515</v>
      </c>
      <c r="H734" s="67" t="s">
        <v>609</v>
      </c>
      <c r="I734" s="67" t="s">
        <v>70</v>
      </c>
      <c r="J734" s="418" t="s">
        <v>70</v>
      </c>
      <c r="K734" s="67">
        <v>56.3</v>
      </c>
      <c r="L734" s="299">
        <f t="shared" si="39"/>
        <v>200</v>
      </c>
      <c r="M734" s="221">
        <v>200</v>
      </c>
      <c r="N734" s="220" t="e">
        <f>IF(OR(M734="nio",M734="eigen dienst"),0,IF(M734&gt;0,M734*K734/O734,0))*VLOOKUP(B734,'2-Kosten per locatie'!$A$14:$C$33,3,FALSE)</f>
        <v>#DIV/0!</v>
      </c>
      <c r="O734" s="300">
        <f>IF(OR(M734="nio",M734="eigen dienst"),0,IF(M734&gt;0,VLOOKUP(H734,'3-Productie normen'!A:J,VLOOKUP(M734,'3-Productie normen'!$B$34:$C$35,2,FALSE),FALSE)))</f>
        <v>0</v>
      </c>
      <c r="P734" s="301" t="str">
        <f>VLOOKUP(H734,'3-Productie normen'!A:L,12,FALSE)</f>
        <v>L</v>
      </c>
      <c r="Q734" s="301"/>
      <c r="S734" s="302">
        <f t="shared" si="40"/>
        <v>11260</v>
      </c>
    </row>
    <row r="735" spans="1:19" ht="14.15" customHeight="1">
      <c r="A735" s="71">
        <v>735</v>
      </c>
      <c r="B735" s="418" t="s">
        <v>207</v>
      </c>
      <c r="C735" s="467" t="s">
        <v>715</v>
      </c>
      <c r="D735" s="467" t="s">
        <v>720</v>
      </c>
      <c r="E735" s="67" t="s">
        <v>713</v>
      </c>
      <c r="F735" s="468" t="s">
        <v>229</v>
      </c>
      <c r="G735" s="67" t="s">
        <v>515</v>
      </c>
      <c r="H735" s="67" t="s">
        <v>609</v>
      </c>
      <c r="I735" s="67" t="s">
        <v>70</v>
      </c>
      <c r="J735" s="67" t="s">
        <v>70</v>
      </c>
      <c r="K735" s="67">
        <v>59.2</v>
      </c>
      <c r="L735" s="299">
        <f t="shared" si="39"/>
        <v>200</v>
      </c>
      <c r="M735" s="221">
        <v>200</v>
      </c>
      <c r="N735" s="220" t="e">
        <f>IF(OR(M735="nio",M735="eigen dienst"),0,IF(M735&gt;0,M735*K735/O735,0))*VLOOKUP(B735,'2-Kosten per locatie'!$A$14:$C$33,3,FALSE)</f>
        <v>#DIV/0!</v>
      </c>
      <c r="O735" s="300">
        <f>IF(OR(M735="nio",M735="eigen dienst"),0,IF(M735&gt;0,VLOOKUP(H735,'3-Productie normen'!A:J,VLOOKUP(M735,'3-Productie normen'!$B$34:$C$35,2,FALSE),FALSE)))</f>
        <v>0</v>
      </c>
      <c r="P735" s="301" t="str">
        <f>VLOOKUP(H735,'3-Productie normen'!A:L,12,FALSE)</f>
        <v>L</v>
      </c>
      <c r="Q735" s="301"/>
      <c r="S735" s="302">
        <f t="shared" si="40"/>
        <v>11840</v>
      </c>
    </row>
    <row r="736" spans="1:19" ht="14.15" customHeight="1">
      <c r="A736" s="71">
        <v>736</v>
      </c>
      <c r="B736" s="418" t="s">
        <v>207</v>
      </c>
      <c r="C736" s="467" t="s">
        <v>715</v>
      </c>
      <c r="D736" s="467" t="s">
        <v>720</v>
      </c>
      <c r="E736" s="67" t="s">
        <v>713</v>
      </c>
      <c r="F736" s="468" t="s">
        <v>230</v>
      </c>
      <c r="G736" s="67" t="s">
        <v>514</v>
      </c>
      <c r="H736" s="67" t="s">
        <v>37</v>
      </c>
      <c r="I736" s="67" t="s">
        <v>601</v>
      </c>
      <c r="J736" s="67" t="s">
        <v>179</v>
      </c>
      <c r="K736" s="67">
        <v>15.4</v>
      </c>
      <c r="L736" s="299">
        <f t="shared" si="39"/>
        <v>200</v>
      </c>
      <c r="M736" s="221">
        <v>200</v>
      </c>
      <c r="N736" s="220" t="e">
        <f>IF(OR(M736="nio",M736="eigen dienst"),0,IF(M736&gt;0,M736*K736/O736,0))*VLOOKUP(B736,'2-Kosten per locatie'!$A$14:$C$33,3,FALSE)</f>
        <v>#DIV/0!</v>
      </c>
      <c r="O736" s="300">
        <f>IF(OR(M736="nio",M736="eigen dienst"),0,IF(M736&gt;0,VLOOKUP(H736,'3-Productie normen'!A:J,VLOOKUP(M736,'3-Productie normen'!$B$34:$C$35,2,FALSE),FALSE)))</f>
        <v>0</v>
      </c>
      <c r="P736" s="301" t="str">
        <f>VLOOKUP(H736,'3-Productie normen'!A:L,12,FALSE)</f>
        <v>S</v>
      </c>
      <c r="Q736" s="301"/>
      <c r="S736" s="302">
        <f t="shared" si="40"/>
        <v>3080</v>
      </c>
    </row>
    <row r="737" spans="1:19" ht="14.15" customHeight="1">
      <c r="A737" s="71">
        <v>737</v>
      </c>
      <c r="B737" s="418" t="s">
        <v>207</v>
      </c>
      <c r="C737" s="467" t="s">
        <v>715</v>
      </c>
      <c r="D737" s="467" t="s">
        <v>720</v>
      </c>
      <c r="E737" s="67" t="s">
        <v>713</v>
      </c>
      <c r="F737" s="468" t="s">
        <v>231</v>
      </c>
      <c r="G737" s="67" t="s">
        <v>552</v>
      </c>
      <c r="H737" s="67" t="s">
        <v>46</v>
      </c>
      <c r="I737" s="67" t="s">
        <v>603</v>
      </c>
      <c r="J737" s="67" t="s">
        <v>70</v>
      </c>
      <c r="K737" s="67">
        <v>7.2</v>
      </c>
      <c r="L737" s="299">
        <f t="shared" si="39"/>
        <v>200</v>
      </c>
      <c r="M737" s="221">
        <v>200</v>
      </c>
      <c r="N737" s="220" t="e">
        <f>IF(OR(M737="nio",M737="eigen dienst"),0,IF(M737&gt;0,M737*K737/O737,0))*VLOOKUP(B737,'2-Kosten per locatie'!$A$14:$C$33,3,FALSE)</f>
        <v>#DIV/0!</v>
      </c>
      <c r="O737" s="300">
        <f>IF(OR(M737="nio",M737="eigen dienst"),0,IF(M737&gt;0,VLOOKUP(H737,'3-Productie normen'!A:J,VLOOKUP(M737,'3-Productie normen'!$B$34:$C$35,2,FALSE),FALSE)))</f>
        <v>0</v>
      </c>
      <c r="P737" s="301" t="str">
        <f>VLOOKUP(H737,'3-Productie normen'!A:L,12,FALSE)</f>
        <v>V</v>
      </c>
      <c r="Q737" s="301"/>
      <c r="S737" s="302">
        <f t="shared" si="40"/>
        <v>1440</v>
      </c>
    </row>
    <row r="738" spans="1:19" ht="14.15" customHeight="1">
      <c r="A738" s="71">
        <v>738</v>
      </c>
      <c r="B738" s="418" t="s">
        <v>207</v>
      </c>
      <c r="C738" s="467" t="s">
        <v>715</v>
      </c>
      <c r="D738" s="467" t="s">
        <v>720</v>
      </c>
      <c r="E738" s="67" t="s">
        <v>713</v>
      </c>
      <c r="F738" s="468" t="s">
        <v>232</v>
      </c>
      <c r="G738" s="67" t="s">
        <v>575</v>
      </c>
      <c r="H738" s="67" t="s">
        <v>35</v>
      </c>
      <c r="I738" s="67" t="s">
        <v>70</v>
      </c>
      <c r="J738" s="67" t="s">
        <v>70</v>
      </c>
      <c r="K738" s="67">
        <v>15.2</v>
      </c>
      <c r="L738" s="299">
        <f t="shared" si="39"/>
        <v>200</v>
      </c>
      <c r="M738" s="221">
        <v>200</v>
      </c>
      <c r="N738" s="220" t="e">
        <f>IF(OR(M738="nio",M738="eigen dienst"),0,IF(M738&gt;0,M738*K738/O738,0))*VLOOKUP(B738,'2-Kosten per locatie'!$A$14:$C$33,3,FALSE)</f>
        <v>#DIV/0!</v>
      </c>
      <c r="O738" s="300">
        <f>IF(OR(M738="nio",M738="eigen dienst"),0,IF(M738&gt;0,VLOOKUP(H738,'3-Productie normen'!A:J,VLOOKUP(M738,'3-Productie normen'!$B$34:$C$35,2,FALSE),FALSE)))</f>
        <v>0</v>
      </c>
      <c r="P738" s="301" t="str">
        <f>VLOOKUP(H738,'3-Productie normen'!A:L,12,FALSE)</f>
        <v>B</v>
      </c>
      <c r="Q738" s="301"/>
      <c r="S738" s="302">
        <f t="shared" si="40"/>
        <v>3040</v>
      </c>
    </row>
    <row r="739" spans="1:19" ht="14.15" customHeight="1">
      <c r="A739" s="71">
        <v>739</v>
      </c>
      <c r="B739" s="418" t="s">
        <v>207</v>
      </c>
      <c r="C739" s="467" t="s">
        <v>715</v>
      </c>
      <c r="D739" s="467" t="s">
        <v>720</v>
      </c>
      <c r="E739" s="67" t="s">
        <v>713</v>
      </c>
      <c r="F739" s="468" t="s">
        <v>233</v>
      </c>
      <c r="G739" s="67" t="s">
        <v>512</v>
      </c>
      <c r="H739" s="67" t="s">
        <v>39</v>
      </c>
      <c r="I739" s="67" t="s">
        <v>70</v>
      </c>
      <c r="J739" s="67" t="s">
        <v>70</v>
      </c>
      <c r="K739" s="67">
        <v>56.2</v>
      </c>
      <c r="L739" s="299">
        <f t="shared" si="39"/>
        <v>200</v>
      </c>
      <c r="M739" s="221">
        <v>200</v>
      </c>
      <c r="N739" s="220" t="e">
        <f>IF(OR(M739="nio",M739="eigen dienst"),0,IF(M739&gt;0,M739*K739/O739,0))*VLOOKUP(B739,'2-Kosten per locatie'!$A$14:$C$33,3,FALSE)</f>
        <v>#DIV/0!</v>
      </c>
      <c r="O739" s="300">
        <f>IF(OR(M739="nio",M739="eigen dienst"),0,IF(M739&gt;0,VLOOKUP(H739,'3-Productie normen'!A:J,VLOOKUP(M739,'3-Productie normen'!$B$34:$C$35,2,FALSE),FALSE)))</f>
        <v>0</v>
      </c>
      <c r="P739" s="301" t="str">
        <f>VLOOKUP(H739,'3-Productie normen'!A:L,12,FALSE)</f>
        <v>V</v>
      </c>
      <c r="Q739" s="301"/>
      <c r="S739" s="302">
        <f t="shared" si="40"/>
        <v>11240</v>
      </c>
    </row>
    <row r="740" spans="1:19" ht="14.15" customHeight="1">
      <c r="A740" s="71">
        <v>740</v>
      </c>
      <c r="B740" s="418" t="s">
        <v>207</v>
      </c>
      <c r="C740" s="467" t="s">
        <v>715</v>
      </c>
      <c r="D740" s="467" t="s">
        <v>720</v>
      </c>
      <c r="E740" s="67" t="s">
        <v>713</v>
      </c>
      <c r="F740" s="468" t="s">
        <v>234</v>
      </c>
      <c r="G740" s="67" t="s">
        <v>515</v>
      </c>
      <c r="H740" s="67" t="s">
        <v>609</v>
      </c>
      <c r="I740" s="67" t="s">
        <v>70</v>
      </c>
      <c r="J740" s="67" t="s">
        <v>70</v>
      </c>
      <c r="K740" s="67">
        <v>51.7</v>
      </c>
      <c r="L740" s="299">
        <f t="shared" si="39"/>
        <v>200</v>
      </c>
      <c r="M740" s="221">
        <v>200</v>
      </c>
      <c r="N740" s="220" t="e">
        <f>IF(OR(M740="nio",M740="eigen dienst"),0,IF(M740&gt;0,M740*K740/O740,0))*VLOOKUP(B740,'2-Kosten per locatie'!$A$14:$C$33,3,FALSE)</f>
        <v>#DIV/0!</v>
      </c>
      <c r="O740" s="300">
        <f>IF(OR(M740="nio",M740="eigen dienst"),0,IF(M740&gt;0,VLOOKUP(H740,'3-Productie normen'!A:J,VLOOKUP(M740,'3-Productie normen'!$B$34:$C$35,2,FALSE),FALSE)))</f>
        <v>0</v>
      </c>
      <c r="P740" s="301" t="str">
        <f>VLOOKUP(H740,'3-Productie normen'!A:L,12,FALSE)</f>
        <v>L</v>
      </c>
      <c r="Q740" s="301"/>
      <c r="S740" s="302">
        <f t="shared" si="40"/>
        <v>10340</v>
      </c>
    </row>
    <row r="741" spans="1:19" ht="14.15" customHeight="1">
      <c r="A741" s="71">
        <v>741</v>
      </c>
      <c r="B741" s="418" t="s">
        <v>207</v>
      </c>
      <c r="C741" s="467" t="s">
        <v>715</v>
      </c>
      <c r="D741" s="467" t="s">
        <v>720</v>
      </c>
      <c r="E741" s="67" t="s">
        <v>713</v>
      </c>
      <c r="F741" s="468" t="s">
        <v>235</v>
      </c>
      <c r="G741" s="67" t="s">
        <v>515</v>
      </c>
      <c r="H741" s="67" t="s">
        <v>609</v>
      </c>
      <c r="I741" s="67" t="s">
        <v>70</v>
      </c>
      <c r="J741" s="67" t="s">
        <v>70</v>
      </c>
      <c r="K741" s="67">
        <v>51.7</v>
      </c>
      <c r="L741" s="299">
        <f t="shared" si="39"/>
        <v>200</v>
      </c>
      <c r="M741" s="221">
        <v>200</v>
      </c>
      <c r="N741" s="220" t="e">
        <f>IF(OR(M741="nio",M741="eigen dienst"),0,IF(M741&gt;0,M741*K741/O741,0))*VLOOKUP(B741,'2-Kosten per locatie'!$A$14:$C$33,3,FALSE)</f>
        <v>#DIV/0!</v>
      </c>
      <c r="O741" s="300">
        <f>IF(OR(M741="nio",M741="eigen dienst"),0,IF(M741&gt;0,VLOOKUP(H741,'3-Productie normen'!A:J,VLOOKUP(M741,'3-Productie normen'!$B$34:$C$35,2,FALSE),FALSE)))</f>
        <v>0</v>
      </c>
      <c r="P741" s="301" t="str">
        <f>VLOOKUP(H741,'3-Productie normen'!A:L,12,FALSE)</f>
        <v>L</v>
      </c>
      <c r="Q741" s="301"/>
      <c r="S741" s="302">
        <f t="shared" si="40"/>
        <v>10340</v>
      </c>
    </row>
    <row r="742" spans="1:19" ht="14.15" customHeight="1">
      <c r="A742" s="71">
        <v>742</v>
      </c>
      <c r="B742" s="418" t="s">
        <v>207</v>
      </c>
      <c r="C742" s="467" t="s">
        <v>715</v>
      </c>
      <c r="D742" s="467" t="s">
        <v>720</v>
      </c>
      <c r="E742" s="67" t="s">
        <v>713</v>
      </c>
      <c r="F742" s="468" t="s">
        <v>236</v>
      </c>
      <c r="G742" s="67" t="s">
        <v>512</v>
      </c>
      <c r="H742" s="67" t="s">
        <v>39</v>
      </c>
      <c r="I742" s="67" t="s">
        <v>70</v>
      </c>
      <c r="J742" s="67" t="s">
        <v>70</v>
      </c>
      <c r="K742" s="67">
        <v>15.6</v>
      </c>
      <c r="L742" s="299">
        <f t="shared" si="39"/>
        <v>200</v>
      </c>
      <c r="M742" s="221">
        <v>200</v>
      </c>
      <c r="N742" s="220" t="e">
        <f>IF(OR(M742="nio",M742="eigen dienst"),0,IF(M742&gt;0,M742*K742/O742,0))*VLOOKUP(B742,'2-Kosten per locatie'!$A$14:$C$33,3,FALSE)</f>
        <v>#DIV/0!</v>
      </c>
      <c r="O742" s="300">
        <f>IF(OR(M742="nio",M742="eigen dienst"),0,IF(M742&gt;0,VLOOKUP(H742,'3-Productie normen'!A:J,VLOOKUP(M742,'3-Productie normen'!$B$34:$C$35,2,FALSE),FALSE)))</f>
        <v>0</v>
      </c>
      <c r="P742" s="301" t="str">
        <f>VLOOKUP(H742,'3-Productie normen'!A:L,12,FALSE)</f>
        <v>V</v>
      </c>
      <c r="Q742" s="301"/>
      <c r="S742" s="302">
        <f t="shared" si="40"/>
        <v>3120</v>
      </c>
    </row>
    <row r="743" spans="1:19" ht="14.15" customHeight="1">
      <c r="A743" s="71">
        <v>743</v>
      </c>
      <c r="B743" s="418" t="s">
        <v>207</v>
      </c>
      <c r="C743" s="467" t="s">
        <v>715</v>
      </c>
      <c r="D743" s="467" t="s">
        <v>720</v>
      </c>
      <c r="E743" s="67" t="s">
        <v>713</v>
      </c>
      <c r="F743" s="468" t="s">
        <v>237</v>
      </c>
      <c r="G743" s="67" t="s">
        <v>514</v>
      </c>
      <c r="H743" s="67" t="s">
        <v>37</v>
      </c>
      <c r="I743" s="67" t="s">
        <v>601</v>
      </c>
      <c r="J743" s="67" t="s">
        <v>179</v>
      </c>
      <c r="K743" s="67">
        <v>10.8</v>
      </c>
      <c r="L743" s="299">
        <f t="shared" si="39"/>
        <v>200</v>
      </c>
      <c r="M743" s="221">
        <v>200</v>
      </c>
      <c r="N743" s="220" t="e">
        <f>IF(OR(M743="nio",M743="eigen dienst"),0,IF(M743&gt;0,M743*K743/O743,0))*VLOOKUP(B743,'2-Kosten per locatie'!$A$14:$C$33,3,FALSE)</f>
        <v>#DIV/0!</v>
      </c>
      <c r="O743" s="300">
        <f>IF(OR(M743="nio",M743="eigen dienst"),0,IF(M743&gt;0,VLOOKUP(H743,'3-Productie normen'!A:J,VLOOKUP(M743,'3-Productie normen'!$B$34:$C$35,2,FALSE),FALSE)))</f>
        <v>0</v>
      </c>
      <c r="P743" s="301" t="str">
        <f>VLOOKUP(H743,'3-Productie normen'!A:L,12,FALSE)</f>
        <v>S</v>
      </c>
      <c r="Q743" s="301"/>
      <c r="S743" s="302">
        <f t="shared" si="40"/>
        <v>2160</v>
      </c>
    </row>
    <row r="744" spans="1:19" ht="14.15" customHeight="1">
      <c r="A744" s="71">
        <v>744</v>
      </c>
      <c r="B744" s="418" t="s">
        <v>207</v>
      </c>
      <c r="C744" s="467" t="s">
        <v>715</v>
      </c>
      <c r="D744" s="467" t="s">
        <v>720</v>
      </c>
      <c r="E744" s="67" t="s">
        <v>713</v>
      </c>
      <c r="F744" s="468" t="s">
        <v>238</v>
      </c>
      <c r="G744" s="67" t="s">
        <v>514</v>
      </c>
      <c r="H744" s="67" t="s">
        <v>37</v>
      </c>
      <c r="I744" s="67" t="s">
        <v>601</v>
      </c>
      <c r="J744" s="67" t="s">
        <v>179</v>
      </c>
      <c r="K744" s="67">
        <v>7.6</v>
      </c>
      <c r="L744" s="299">
        <f t="shared" si="39"/>
        <v>200</v>
      </c>
      <c r="M744" s="221">
        <v>200</v>
      </c>
      <c r="N744" s="220" t="e">
        <f>IF(OR(M744="nio",M744="eigen dienst"),0,IF(M744&gt;0,M744*K744/O744,0))*VLOOKUP(B744,'2-Kosten per locatie'!$A$14:$C$33,3,FALSE)</f>
        <v>#DIV/0!</v>
      </c>
      <c r="O744" s="300">
        <f>IF(OR(M744="nio",M744="eigen dienst"),0,IF(M744&gt;0,VLOOKUP(H744,'3-Productie normen'!A:J,VLOOKUP(M744,'3-Productie normen'!$B$34:$C$35,2,FALSE),FALSE)))</f>
        <v>0</v>
      </c>
      <c r="P744" s="301" t="str">
        <f>VLOOKUP(H744,'3-Productie normen'!A:L,12,FALSE)</f>
        <v>S</v>
      </c>
      <c r="Q744" s="301"/>
      <c r="S744" s="302">
        <f t="shared" si="40"/>
        <v>1520</v>
      </c>
    </row>
    <row r="745" spans="1:19" ht="14.15" customHeight="1">
      <c r="A745" s="71">
        <v>745</v>
      </c>
      <c r="B745" s="418" t="s">
        <v>207</v>
      </c>
      <c r="C745" s="467" t="s">
        <v>715</v>
      </c>
      <c r="D745" s="467" t="s">
        <v>720</v>
      </c>
      <c r="E745" s="67" t="s">
        <v>713</v>
      </c>
      <c r="F745" s="468" t="s">
        <v>239</v>
      </c>
      <c r="G745" s="67" t="s">
        <v>518</v>
      </c>
      <c r="H745" s="67" t="s">
        <v>630</v>
      </c>
      <c r="I745" s="67" t="s">
        <v>72</v>
      </c>
      <c r="J745" s="67" t="s">
        <v>200</v>
      </c>
      <c r="K745" s="67"/>
      <c r="L745" s="299">
        <f t="shared" si="39"/>
        <v>0</v>
      </c>
      <c r="M745" s="221" t="s">
        <v>629</v>
      </c>
      <c r="N745" s="220">
        <f>IF(OR(M745="nio",M745="eigen dienst"),0,IF(M745&gt;0,M745*K745/O745,0))*VLOOKUP(B745,'2-Kosten per locatie'!$A$14:$C$33,3,FALSE)</f>
        <v>0</v>
      </c>
      <c r="O745" s="300">
        <f>IF(OR(M745="nio",M745="eigen dienst"),0,IF(M745&gt;0,VLOOKUP(H745,'3-Productie normen'!A:J,VLOOKUP(M745,'3-Productie normen'!$B$34:$C$35,2,FALSE),FALSE)))</f>
        <v>0</v>
      </c>
      <c r="P745" s="301">
        <f>VLOOKUP(H745,'3-Productie normen'!A:L,12,FALSE)</f>
        <v>0</v>
      </c>
      <c r="Q745" s="301"/>
      <c r="S745" s="302">
        <f t="shared" si="40"/>
        <v>0</v>
      </c>
    </row>
    <row r="746" spans="1:19" ht="14.15" customHeight="1">
      <c r="A746" s="71">
        <v>746</v>
      </c>
      <c r="B746" s="418" t="s">
        <v>207</v>
      </c>
      <c r="C746" s="467" t="s">
        <v>715</v>
      </c>
      <c r="D746" s="467" t="s">
        <v>720</v>
      </c>
      <c r="E746" s="67" t="s">
        <v>713</v>
      </c>
      <c r="F746" s="468" t="s">
        <v>240</v>
      </c>
      <c r="G746" s="67" t="s">
        <v>684</v>
      </c>
      <c r="H746" s="67" t="s">
        <v>35</v>
      </c>
      <c r="I746" s="67" t="s">
        <v>70</v>
      </c>
      <c r="J746" s="67" t="s">
        <v>70</v>
      </c>
      <c r="K746" s="67">
        <v>15.6</v>
      </c>
      <c r="L746" s="299">
        <f t="shared" si="39"/>
        <v>200</v>
      </c>
      <c r="M746" s="221">
        <v>200</v>
      </c>
      <c r="N746" s="220" t="e">
        <f>IF(OR(M746="nio",M746="eigen dienst"),0,IF(M746&gt;0,M746*K746/O746,0))*VLOOKUP(B746,'2-Kosten per locatie'!$A$14:$C$33,3,FALSE)</f>
        <v>#DIV/0!</v>
      </c>
      <c r="O746" s="300">
        <f>IF(OR(M746="nio",M746="eigen dienst"),0,IF(M746&gt;0,VLOOKUP(H746,'3-Productie normen'!A:J,VLOOKUP(M746,'3-Productie normen'!$B$34:$C$35,2,FALSE),FALSE)))</f>
        <v>0</v>
      </c>
      <c r="P746" s="301" t="str">
        <f>VLOOKUP(H746,'3-Productie normen'!A:L,12,FALSE)</f>
        <v>B</v>
      </c>
      <c r="Q746" s="301"/>
      <c r="S746" s="302">
        <f t="shared" si="40"/>
        <v>3120</v>
      </c>
    </row>
    <row r="747" spans="1:19" ht="14.15" customHeight="1">
      <c r="A747" s="71">
        <v>747</v>
      </c>
      <c r="B747" s="418" t="s">
        <v>207</v>
      </c>
      <c r="C747" s="467" t="s">
        <v>715</v>
      </c>
      <c r="D747" s="467" t="s">
        <v>720</v>
      </c>
      <c r="E747" s="67" t="s">
        <v>713</v>
      </c>
      <c r="F747" s="468" t="s">
        <v>241</v>
      </c>
      <c r="G747" s="67" t="s">
        <v>514</v>
      </c>
      <c r="H747" s="67" t="s">
        <v>37</v>
      </c>
      <c r="I747" s="67" t="s">
        <v>601</v>
      </c>
      <c r="J747" s="67" t="s">
        <v>179</v>
      </c>
      <c r="K747" s="67">
        <v>10.8</v>
      </c>
      <c r="L747" s="299">
        <f t="shared" si="39"/>
        <v>200</v>
      </c>
      <c r="M747" s="221">
        <v>200</v>
      </c>
      <c r="N747" s="220" t="e">
        <f>IF(OR(M747="nio",M747="eigen dienst"),0,IF(M747&gt;0,M747*K747/O747,0))*VLOOKUP(B747,'2-Kosten per locatie'!$A$14:$C$33,3,FALSE)</f>
        <v>#DIV/0!</v>
      </c>
      <c r="O747" s="300">
        <f>IF(OR(M747="nio",M747="eigen dienst"),0,IF(M747&gt;0,VLOOKUP(H747,'3-Productie normen'!A:J,VLOOKUP(M747,'3-Productie normen'!$B$34:$C$35,2,FALSE),FALSE)))</f>
        <v>0</v>
      </c>
      <c r="P747" s="301" t="str">
        <f>VLOOKUP(H747,'3-Productie normen'!A:L,12,FALSE)</f>
        <v>S</v>
      </c>
      <c r="Q747" s="301"/>
      <c r="S747" s="302">
        <f t="shared" si="40"/>
        <v>2160</v>
      </c>
    </row>
    <row r="748" spans="1:19" ht="14.15" customHeight="1">
      <c r="A748" s="71">
        <v>748</v>
      </c>
      <c r="B748" s="418" t="s">
        <v>207</v>
      </c>
      <c r="C748" s="467" t="s">
        <v>715</v>
      </c>
      <c r="D748" s="467" t="s">
        <v>720</v>
      </c>
      <c r="E748" s="67" t="s">
        <v>713</v>
      </c>
      <c r="F748" s="468" t="s">
        <v>242</v>
      </c>
      <c r="G748" s="67" t="s">
        <v>518</v>
      </c>
      <c r="H748" s="67" t="s">
        <v>630</v>
      </c>
      <c r="I748" s="67" t="s">
        <v>72</v>
      </c>
      <c r="J748" s="67" t="s">
        <v>200</v>
      </c>
      <c r="K748" s="67"/>
      <c r="L748" s="299">
        <f t="shared" si="39"/>
        <v>0</v>
      </c>
      <c r="M748" s="221" t="s">
        <v>629</v>
      </c>
      <c r="N748" s="220">
        <f>IF(OR(M748="nio",M748="eigen dienst"),0,IF(M748&gt;0,M748*K748/O748,0))*VLOOKUP(B748,'2-Kosten per locatie'!$A$14:$C$33,3,FALSE)</f>
        <v>0</v>
      </c>
      <c r="O748" s="300">
        <f>IF(OR(M748="nio",M748="eigen dienst"),0,IF(M748&gt;0,VLOOKUP(H748,'3-Productie normen'!A:J,VLOOKUP(M748,'3-Productie normen'!$B$34:$C$35,2,FALSE),FALSE)))</f>
        <v>0</v>
      </c>
      <c r="P748" s="301">
        <f>VLOOKUP(H748,'3-Productie normen'!A:L,12,FALSE)</f>
        <v>0</v>
      </c>
      <c r="Q748" s="301"/>
      <c r="S748" s="302">
        <f t="shared" si="40"/>
        <v>0</v>
      </c>
    </row>
    <row r="749" spans="1:19" ht="14.15" customHeight="1">
      <c r="A749" s="71">
        <v>749</v>
      </c>
      <c r="B749" s="418" t="s">
        <v>207</v>
      </c>
      <c r="C749" s="467" t="s">
        <v>715</v>
      </c>
      <c r="D749" s="467" t="s">
        <v>720</v>
      </c>
      <c r="E749" s="67" t="s">
        <v>713</v>
      </c>
      <c r="F749" s="468" t="s">
        <v>243</v>
      </c>
      <c r="G749" s="67" t="s">
        <v>515</v>
      </c>
      <c r="H749" s="67" t="s">
        <v>609</v>
      </c>
      <c r="I749" s="67" t="s">
        <v>70</v>
      </c>
      <c r="J749" s="67" t="s">
        <v>70</v>
      </c>
      <c r="K749" s="67">
        <v>51.7</v>
      </c>
      <c r="L749" s="299">
        <f t="shared" si="39"/>
        <v>200</v>
      </c>
      <c r="M749" s="221">
        <v>200</v>
      </c>
      <c r="N749" s="220" t="e">
        <f>IF(OR(M749="nio",M749="eigen dienst"),0,IF(M749&gt;0,M749*K749/O749,0))*VLOOKUP(B749,'2-Kosten per locatie'!$A$14:$C$33,3,FALSE)</f>
        <v>#DIV/0!</v>
      </c>
      <c r="O749" s="300">
        <f>IF(OR(M749="nio",M749="eigen dienst"),0,IF(M749&gt;0,VLOOKUP(H749,'3-Productie normen'!A:J,VLOOKUP(M749,'3-Productie normen'!$B$34:$C$35,2,FALSE),FALSE)))</f>
        <v>0</v>
      </c>
      <c r="P749" s="301" t="str">
        <f>VLOOKUP(H749,'3-Productie normen'!A:L,12,FALSE)</f>
        <v>L</v>
      </c>
      <c r="Q749" s="301"/>
      <c r="S749" s="302">
        <f t="shared" si="40"/>
        <v>10340</v>
      </c>
    </row>
    <row r="750" spans="1:19" ht="14.15" customHeight="1">
      <c r="A750" s="71">
        <v>750</v>
      </c>
      <c r="B750" s="418" t="s">
        <v>207</v>
      </c>
      <c r="C750" s="467" t="s">
        <v>715</v>
      </c>
      <c r="D750" s="467" t="s">
        <v>720</v>
      </c>
      <c r="E750" s="67" t="s">
        <v>713</v>
      </c>
      <c r="F750" s="468" t="s">
        <v>244</v>
      </c>
      <c r="G750" s="67" t="s">
        <v>515</v>
      </c>
      <c r="H750" s="67" t="s">
        <v>609</v>
      </c>
      <c r="I750" s="67" t="s">
        <v>70</v>
      </c>
      <c r="J750" s="418" t="s">
        <v>70</v>
      </c>
      <c r="K750" s="67">
        <v>51.7</v>
      </c>
      <c r="L750" s="299">
        <f t="shared" si="39"/>
        <v>200</v>
      </c>
      <c r="M750" s="221">
        <v>200</v>
      </c>
      <c r="N750" s="220" t="e">
        <f>IF(OR(M750="nio",M750="eigen dienst"),0,IF(M750&gt;0,M750*K750/O750,0))*VLOOKUP(B750,'2-Kosten per locatie'!$A$14:$C$33,3,FALSE)</f>
        <v>#DIV/0!</v>
      </c>
      <c r="O750" s="300">
        <f>IF(OR(M750="nio",M750="eigen dienst"),0,IF(M750&gt;0,VLOOKUP(H750,'3-Productie normen'!A:J,VLOOKUP(M750,'3-Productie normen'!$B$34:$C$35,2,FALSE),FALSE)))</f>
        <v>0</v>
      </c>
      <c r="P750" s="301" t="str">
        <f>VLOOKUP(H750,'3-Productie normen'!A:L,12,FALSE)</f>
        <v>L</v>
      </c>
      <c r="Q750" s="301"/>
      <c r="S750" s="302">
        <f t="shared" si="40"/>
        <v>10340</v>
      </c>
    </row>
    <row r="751" spans="1:19" ht="14.15" customHeight="1">
      <c r="A751" s="71">
        <v>751</v>
      </c>
      <c r="B751" s="418" t="s">
        <v>207</v>
      </c>
      <c r="C751" s="467" t="s">
        <v>715</v>
      </c>
      <c r="D751" s="467" t="s">
        <v>720</v>
      </c>
      <c r="E751" s="67" t="s">
        <v>713</v>
      </c>
      <c r="F751" s="468" t="s">
        <v>245</v>
      </c>
      <c r="G751" s="67" t="s">
        <v>47</v>
      </c>
      <c r="H751" s="271" t="s">
        <v>47</v>
      </c>
      <c r="I751" s="67" t="s">
        <v>70</v>
      </c>
      <c r="J751" s="67" t="s">
        <v>70</v>
      </c>
      <c r="K751" s="67">
        <v>5.6</v>
      </c>
      <c r="L751" s="299">
        <f t="shared" si="39"/>
        <v>200</v>
      </c>
      <c r="M751" s="221">
        <v>200</v>
      </c>
      <c r="N751" s="220" t="e">
        <f>IF(OR(M751="nio",M751="eigen dienst"),0,IF(M751&gt;0,M751*K751/O751,0))*VLOOKUP(B751,'2-Kosten per locatie'!$A$14:$C$33,3,FALSE)</f>
        <v>#DIV/0!</v>
      </c>
      <c r="O751" s="300">
        <f>IF(OR(M751="nio",M751="eigen dienst"),0,IF(M751&gt;0,VLOOKUP(H751,'3-Productie normen'!A:J,VLOOKUP(M751,'3-Productie normen'!$B$34:$C$35,2,FALSE),FALSE)))</f>
        <v>0</v>
      </c>
      <c r="P751" s="301" t="str">
        <f>VLOOKUP(H751,'3-Productie normen'!A:L,12,FALSE)</f>
        <v>V</v>
      </c>
      <c r="Q751" s="301"/>
      <c r="S751" s="302">
        <f t="shared" si="40"/>
        <v>1120</v>
      </c>
    </row>
    <row r="752" spans="1:19" ht="14.15" customHeight="1">
      <c r="A752" s="71">
        <v>752</v>
      </c>
      <c r="B752" s="418" t="s">
        <v>207</v>
      </c>
      <c r="C752" s="467" t="s">
        <v>715</v>
      </c>
      <c r="D752" s="467" t="s">
        <v>720</v>
      </c>
      <c r="E752" s="67" t="s">
        <v>713</v>
      </c>
      <c r="F752" s="468" t="s">
        <v>246</v>
      </c>
      <c r="G752" s="67" t="s">
        <v>532</v>
      </c>
      <c r="H752" s="271" t="s">
        <v>630</v>
      </c>
      <c r="I752" s="67" t="s">
        <v>72</v>
      </c>
      <c r="J752" s="67" t="s">
        <v>200</v>
      </c>
      <c r="K752" s="67">
        <v>11.3</v>
      </c>
      <c r="L752" s="299">
        <f t="shared" si="39"/>
        <v>0</v>
      </c>
      <c r="M752" s="221" t="s">
        <v>629</v>
      </c>
      <c r="N752" s="220">
        <f>IF(OR(M752="nio",M752="eigen dienst"),0,IF(M752&gt;0,M752*K752/O752,0))*VLOOKUP(B752,'2-Kosten per locatie'!$A$14:$C$33,3,FALSE)</f>
        <v>0</v>
      </c>
      <c r="O752" s="300">
        <f>IF(OR(M752="nio",M752="eigen dienst"),0,IF(M752&gt;0,VLOOKUP(H752,'3-Productie normen'!A:J,VLOOKUP(M752,'3-Productie normen'!$B$34:$C$35,2,FALSE),FALSE)))</f>
        <v>0</v>
      </c>
      <c r="P752" s="301">
        <f>VLOOKUP(H752,'3-Productie normen'!A:L,12,FALSE)</f>
        <v>0</v>
      </c>
      <c r="Q752" s="301"/>
      <c r="S752" s="302">
        <f t="shared" si="40"/>
        <v>0</v>
      </c>
    </row>
    <row r="753" spans="1:19" ht="14.15" customHeight="1">
      <c r="A753" s="71">
        <v>753</v>
      </c>
      <c r="B753" s="418" t="s">
        <v>207</v>
      </c>
      <c r="C753" s="467" t="s">
        <v>715</v>
      </c>
      <c r="D753" s="467" t="s">
        <v>720</v>
      </c>
      <c r="E753" s="67" t="s">
        <v>713</v>
      </c>
      <c r="F753" s="468" t="s">
        <v>247</v>
      </c>
      <c r="G753" s="67" t="s">
        <v>518</v>
      </c>
      <c r="H753" s="67" t="s">
        <v>630</v>
      </c>
      <c r="I753" s="67" t="s">
        <v>72</v>
      </c>
      <c r="J753" s="67" t="s">
        <v>200</v>
      </c>
      <c r="K753" s="67"/>
      <c r="L753" s="299">
        <f t="shared" si="39"/>
        <v>0</v>
      </c>
      <c r="M753" s="221" t="s">
        <v>629</v>
      </c>
      <c r="N753" s="220">
        <f>IF(OR(M753="nio",M753="eigen dienst"),0,IF(M753&gt;0,M753*K753/O753,0))*VLOOKUP(B753,'2-Kosten per locatie'!$A$14:$C$33,3,FALSE)</f>
        <v>0</v>
      </c>
      <c r="O753" s="300">
        <f>IF(OR(M753="nio",M753="eigen dienst"),0,IF(M753&gt;0,VLOOKUP(H753,'3-Productie normen'!A:J,VLOOKUP(M753,'3-Productie normen'!$B$34:$C$35,2,FALSE),FALSE)))</f>
        <v>0</v>
      </c>
      <c r="P753" s="301">
        <f>VLOOKUP(H753,'3-Productie normen'!A:L,12,FALSE)</f>
        <v>0</v>
      </c>
      <c r="Q753" s="301"/>
      <c r="S753" s="302">
        <f t="shared" si="40"/>
        <v>0</v>
      </c>
    </row>
    <row r="754" spans="1:19" ht="14.15" customHeight="1">
      <c r="A754" s="71">
        <v>754</v>
      </c>
      <c r="B754" s="418" t="s">
        <v>207</v>
      </c>
      <c r="C754" s="467" t="s">
        <v>715</v>
      </c>
      <c r="D754" s="467" t="s">
        <v>720</v>
      </c>
      <c r="E754" s="67" t="s">
        <v>713</v>
      </c>
      <c r="F754" s="468" t="s">
        <v>248</v>
      </c>
      <c r="G754" s="67" t="s">
        <v>527</v>
      </c>
      <c r="H754" s="67" t="s">
        <v>630</v>
      </c>
      <c r="I754" s="67" t="s">
        <v>72</v>
      </c>
      <c r="J754" s="67" t="s">
        <v>200</v>
      </c>
      <c r="K754" s="67"/>
      <c r="L754" s="299">
        <f t="shared" si="39"/>
        <v>0</v>
      </c>
      <c r="M754" s="221" t="s">
        <v>629</v>
      </c>
      <c r="N754" s="220">
        <f>IF(OR(M754="nio",M754="eigen dienst"),0,IF(M754&gt;0,M754*K754/O754,0))*VLOOKUP(B754,'2-Kosten per locatie'!$A$14:$C$33,3,FALSE)</f>
        <v>0</v>
      </c>
      <c r="O754" s="300">
        <f>IF(OR(M754="nio",M754="eigen dienst"),0,IF(M754&gt;0,VLOOKUP(H754,'3-Productie normen'!A:J,VLOOKUP(M754,'3-Productie normen'!$B$34:$C$35,2,FALSE),FALSE)))</f>
        <v>0</v>
      </c>
      <c r="P754" s="301">
        <f>VLOOKUP(H754,'3-Productie normen'!A:L,12,FALSE)</f>
        <v>0</v>
      </c>
      <c r="Q754" s="301"/>
      <c r="S754" s="302">
        <f t="shared" si="40"/>
        <v>0</v>
      </c>
    </row>
    <row r="755" spans="1:19" ht="14.15" customHeight="1">
      <c r="A755" s="71">
        <v>755</v>
      </c>
      <c r="B755" s="418" t="s">
        <v>207</v>
      </c>
      <c r="C755" s="467" t="s">
        <v>715</v>
      </c>
      <c r="D755" s="467" t="s">
        <v>720</v>
      </c>
      <c r="E755" s="67" t="s">
        <v>713</v>
      </c>
      <c r="F755" s="468" t="s">
        <v>249</v>
      </c>
      <c r="G755" s="67" t="s">
        <v>516</v>
      </c>
      <c r="H755" s="67" t="s">
        <v>35</v>
      </c>
      <c r="I755" s="67" t="s">
        <v>70</v>
      </c>
      <c r="J755" s="418" t="s">
        <v>70</v>
      </c>
      <c r="K755" s="67">
        <v>16.8</v>
      </c>
      <c r="L755" s="299">
        <f t="shared" si="39"/>
        <v>200</v>
      </c>
      <c r="M755" s="221">
        <v>200</v>
      </c>
      <c r="N755" s="220" t="e">
        <f>IF(OR(M755="nio",M755="eigen dienst"),0,IF(M755&gt;0,M755*K755/O755,0))*VLOOKUP(B755,'2-Kosten per locatie'!$A$14:$C$33,3,FALSE)</f>
        <v>#DIV/0!</v>
      </c>
      <c r="O755" s="300">
        <f>IF(OR(M755="nio",M755="eigen dienst"),0,IF(M755&gt;0,VLOOKUP(H755,'3-Productie normen'!A:J,VLOOKUP(M755,'3-Productie normen'!$B$34:$C$35,2,FALSE),FALSE)))</f>
        <v>0</v>
      </c>
      <c r="P755" s="301" t="str">
        <f>VLOOKUP(H755,'3-Productie normen'!A:L,12,FALSE)</f>
        <v>B</v>
      </c>
      <c r="Q755" s="301"/>
      <c r="S755" s="302">
        <f t="shared" si="40"/>
        <v>3360</v>
      </c>
    </row>
    <row r="756" spans="1:19" ht="14.15" customHeight="1">
      <c r="A756" s="71">
        <v>756</v>
      </c>
      <c r="B756" s="418" t="s">
        <v>207</v>
      </c>
      <c r="C756" s="467" t="s">
        <v>715</v>
      </c>
      <c r="D756" s="467" t="s">
        <v>720</v>
      </c>
      <c r="E756" s="67" t="s">
        <v>713</v>
      </c>
      <c r="F756" s="468" t="s">
        <v>250</v>
      </c>
      <c r="G756" s="67" t="s">
        <v>718</v>
      </c>
      <c r="H756" s="67" t="s">
        <v>35</v>
      </c>
      <c r="I756" s="67" t="s">
        <v>70</v>
      </c>
      <c r="J756" s="67" t="s">
        <v>70</v>
      </c>
      <c r="K756" s="67">
        <v>13.4</v>
      </c>
      <c r="L756" s="299">
        <f t="shared" si="39"/>
        <v>200</v>
      </c>
      <c r="M756" s="221">
        <v>200</v>
      </c>
      <c r="N756" s="220" t="e">
        <f>IF(OR(M756="nio",M756="eigen dienst"),0,IF(M756&gt;0,M756*K756/O756,0))*VLOOKUP(B756,'2-Kosten per locatie'!$A$14:$C$33,3,FALSE)</f>
        <v>#DIV/0!</v>
      </c>
      <c r="O756" s="300">
        <f>IF(OR(M756="nio",M756="eigen dienst"),0,IF(M756&gt;0,VLOOKUP(H756,'3-Productie normen'!A:J,VLOOKUP(M756,'3-Productie normen'!$B$34:$C$35,2,FALSE),FALSE)))</f>
        <v>0</v>
      </c>
      <c r="P756" s="301" t="str">
        <f>VLOOKUP(H756,'3-Productie normen'!A:L,12,FALSE)</f>
        <v>B</v>
      </c>
      <c r="Q756" s="301"/>
      <c r="S756" s="302">
        <f t="shared" si="40"/>
        <v>2680</v>
      </c>
    </row>
    <row r="757" spans="1:19" ht="14.15" customHeight="1">
      <c r="A757" s="71">
        <v>757</v>
      </c>
      <c r="B757" s="418" t="s">
        <v>207</v>
      </c>
      <c r="C757" s="467" t="s">
        <v>715</v>
      </c>
      <c r="D757" s="467" t="s">
        <v>720</v>
      </c>
      <c r="E757" s="67" t="s">
        <v>713</v>
      </c>
      <c r="F757" s="468" t="s">
        <v>251</v>
      </c>
      <c r="G757" s="67" t="s">
        <v>685</v>
      </c>
      <c r="H757" s="67" t="s">
        <v>35</v>
      </c>
      <c r="I757" s="67" t="s">
        <v>70</v>
      </c>
      <c r="J757" s="67" t="s">
        <v>70</v>
      </c>
      <c r="K757" s="67">
        <v>14.6</v>
      </c>
      <c r="L757" s="299">
        <f t="shared" si="39"/>
        <v>200</v>
      </c>
      <c r="M757" s="221">
        <v>200</v>
      </c>
      <c r="N757" s="220" t="e">
        <f>IF(OR(M757="nio",M757="eigen dienst"),0,IF(M757&gt;0,M757*K757/O757,0))*VLOOKUP(B757,'2-Kosten per locatie'!$A$14:$C$33,3,FALSE)</f>
        <v>#DIV/0!</v>
      </c>
      <c r="O757" s="300">
        <f>IF(OR(M757="nio",M757="eigen dienst"),0,IF(M757&gt;0,VLOOKUP(H757,'3-Productie normen'!A:J,VLOOKUP(M757,'3-Productie normen'!$B$34:$C$35,2,FALSE),FALSE)))</f>
        <v>0</v>
      </c>
      <c r="P757" s="301" t="str">
        <f>VLOOKUP(H757,'3-Productie normen'!A:L,12,FALSE)</f>
        <v>B</v>
      </c>
      <c r="Q757" s="301"/>
      <c r="S757" s="302">
        <f t="shared" si="40"/>
        <v>2920</v>
      </c>
    </row>
    <row r="758" spans="1:19" ht="14.15" customHeight="1">
      <c r="A758" s="71">
        <v>758</v>
      </c>
      <c r="B758" s="418" t="s">
        <v>207</v>
      </c>
      <c r="C758" s="467" t="s">
        <v>715</v>
      </c>
      <c r="D758" s="467" t="s">
        <v>720</v>
      </c>
      <c r="E758" s="67" t="s">
        <v>713</v>
      </c>
      <c r="F758" s="468" t="s">
        <v>252</v>
      </c>
      <c r="G758" s="67" t="s">
        <v>515</v>
      </c>
      <c r="H758" s="67" t="s">
        <v>609</v>
      </c>
      <c r="I758" s="67" t="s">
        <v>70</v>
      </c>
      <c r="J758" s="67" t="s">
        <v>70</v>
      </c>
      <c r="K758" s="67">
        <v>51.7</v>
      </c>
      <c r="L758" s="299">
        <f t="shared" si="39"/>
        <v>200</v>
      </c>
      <c r="M758" s="221">
        <v>200</v>
      </c>
      <c r="N758" s="220" t="e">
        <f>IF(OR(M758="nio",M758="eigen dienst"),0,IF(M758&gt;0,M758*K758/O758,0))*VLOOKUP(B758,'2-Kosten per locatie'!$A$14:$C$33,3,FALSE)</f>
        <v>#DIV/0!</v>
      </c>
      <c r="O758" s="300">
        <f>IF(OR(M758="nio",M758="eigen dienst"),0,IF(M758&gt;0,VLOOKUP(H758,'3-Productie normen'!A:J,VLOOKUP(M758,'3-Productie normen'!$B$34:$C$35,2,FALSE),FALSE)))</f>
        <v>0</v>
      </c>
      <c r="P758" s="301" t="str">
        <f>VLOOKUP(H758,'3-Productie normen'!A:L,12,FALSE)</f>
        <v>L</v>
      </c>
      <c r="Q758" s="301"/>
      <c r="S758" s="302">
        <f t="shared" si="40"/>
        <v>10340</v>
      </c>
    </row>
    <row r="759" spans="1:19" ht="14.15" customHeight="1">
      <c r="A759" s="71">
        <v>759</v>
      </c>
      <c r="B759" s="418" t="s">
        <v>207</v>
      </c>
      <c r="C759" s="467" t="s">
        <v>715</v>
      </c>
      <c r="D759" s="467" t="s">
        <v>720</v>
      </c>
      <c r="E759" s="67" t="s">
        <v>713</v>
      </c>
      <c r="F759" s="468" t="s">
        <v>253</v>
      </c>
      <c r="G759" s="67" t="s">
        <v>686</v>
      </c>
      <c r="H759" s="67" t="s">
        <v>47</v>
      </c>
      <c r="I759" s="67" t="s">
        <v>70</v>
      </c>
      <c r="J759" s="67" t="s">
        <v>70</v>
      </c>
      <c r="K759" s="67">
        <v>27.4</v>
      </c>
      <c r="L759" s="299">
        <f t="shared" si="39"/>
        <v>200</v>
      </c>
      <c r="M759" s="221">
        <v>200</v>
      </c>
      <c r="N759" s="220" t="e">
        <f>IF(OR(M759="nio",M759="eigen dienst"),0,IF(M759&gt;0,M759*K759/O759,0))*VLOOKUP(B759,'2-Kosten per locatie'!$A$14:$C$33,3,FALSE)</f>
        <v>#DIV/0!</v>
      </c>
      <c r="O759" s="300">
        <f>IF(OR(M759="nio",M759="eigen dienst"),0,IF(M759&gt;0,VLOOKUP(H759,'3-Productie normen'!A:J,VLOOKUP(M759,'3-Productie normen'!$B$34:$C$35,2,FALSE),FALSE)))</f>
        <v>0</v>
      </c>
      <c r="P759" s="301" t="str">
        <f>VLOOKUP(H759,'3-Productie normen'!A:L,12,FALSE)</f>
        <v>V</v>
      </c>
      <c r="Q759" s="301"/>
      <c r="S759" s="302">
        <f t="shared" si="40"/>
        <v>5480</v>
      </c>
    </row>
    <row r="760" spans="1:19" ht="14.15" customHeight="1">
      <c r="A760" s="71">
        <v>760</v>
      </c>
      <c r="B760" s="418" t="s">
        <v>207</v>
      </c>
      <c r="C760" s="467" t="s">
        <v>715</v>
      </c>
      <c r="D760" s="467" t="s">
        <v>720</v>
      </c>
      <c r="E760" s="67" t="s">
        <v>713</v>
      </c>
      <c r="F760" s="468" t="s">
        <v>254</v>
      </c>
      <c r="G760" s="67" t="s">
        <v>522</v>
      </c>
      <c r="H760" s="67" t="s">
        <v>630</v>
      </c>
      <c r="I760" s="67" t="s">
        <v>72</v>
      </c>
      <c r="J760" s="67" t="s">
        <v>200</v>
      </c>
      <c r="K760" s="67"/>
      <c r="L760" s="299">
        <f t="shared" si="39"/>
        <v>0</v>
      </c>
      <c r="M760" s="221" t="s">
        <v>629</v>
      </c>
      <c r="N760" s="220">
        <f>IF(OR(M760="nio",M760="eigen dienst"),0,IF(M760&gt;0,M760*K760/O760,0))*VLOOKUP(B760,'2-Kosten per locatie'!$A$14:$C$33,3,FALSE)</f>
        <v>0</v>
      </c>
      <c r="O760" s="300">
        <f>IF(OR(M760="nio",M760="eigen dienst"),0,IF(M760&gt;0,VLOOKUP(H760,'3-Productie normen'!A:J,VLOOKUP(M760,'3-Productie normen'!$B$34:$C$35,2,FALSE),FALSE)))</f>
        <v>0</v>
      </c>
      <c r="P760" s="301">
        <f>VLOOKUP(H760,'3-Productie normen'!A:L,12,FALSE)</f>
        <v>0</v>
      </c>
      <c r="Q760" s="301"/>
      <c r="S760" s="302">
        <f t="shared" si="40"/>
        <v>0</v>
      </c>
    </row>
    <row r="761" spans="1:19" ht="14.15" customHeight="1">
      <c r="A761" s="71">
        <v>761</v>
      </c>
      <c r="B761" s="418" t="s">
        <v>207</v>
      </c>
      <c r="C761" s="467" t="s">
        <v>715</v>
      </c>
      <c r="D761" s="467" t="s">
        <v>720</v>
      </c>
      <c r="E761" s="67" t="s">
        <v>713</v>
      </c>
      <c r="F761" s="468" t="s">
        <v>255</v>
      </c>
      <c r="G761" s="67" t="s">
        <v>518</v>
      </c>
      <c r="H761" s="67" t="s">
        <v>630</v>
      </c>
      <c r="I761" s="67" t="s">
        <v>72</v>
      </c>
      <c r="J761" s="67" t="s">
        <v>200</v>
      </c>
      <c r="K761" s="67"/>
      <c r="L761" s="299">
        <f t="shared" si="39"/>
        <v>0</v>
      </c>
      <c r="M761" s="221" t="s">
        <v>629</v>
      </c>
      <c r="N761" s="220">
        <f>IF(OR(M761="nio",M761="eigen dienst"),0,IF(M761&gt;0,M761*K761/O761,0))*VLOOKUP(B761,'2-Kosten per locatie'!$A$14:$C$33,3,FALSE)</f>
        <v>0</v>
      </c>
      <c r="O761" s="300">
        <f>IF(OR(M761="nio",M761="eigen dienst"),0,IF(M761&gt;0,VLOOKUP(H761,'3-Productie normen'!A:J,VLOOKUP(M761,'3-Productie normen'!$B$34:$C$35,2,FALSE),FALSE)))</f>
        <v>0</v>
      </c>
      <c r="P761" s="301">
        <f>VLOOKUP(H761,'3-Productie normen'!A:L,12,FALSE)</f>
        <v>0</v>
      </c>
      <c r="Q761" s="301"/>
      <c r="S761" s="302">
        <f t="shared" si="40"/>
        <v>0</v>
      </c>
    </row>
    <row r="762" spans="1:19" ht="14.15" customHeight="1">
      <c r="A762" s="71">
        <v>762</v>
      </c>
      <c r="B762" s="418" t="s">
        <v>207</v>
      </c>
      <c r="C762" s="467" t="s">
        <v>715</v>
      </c>
      <c r="D762" s="467" t="s">
        <v>720</v>
      </c>
      <c r="E762" s="67" t="s">
        <v>713</v>
      </c>
      <c r="F762" s="468" t="s">
        <v>256</v>
      </c>
      <c r="G762" s="67" t="s">
        <v>49</v>
      </c>
      <c r="H762" s="67" t="s">
        <v>49</v>
      </c>
      <c r="I762" s="67" t="s">
        <v>72</v>
      </c>
      <c r="J762" s="67" t="s">
        <v>200</v>
      </c>
      <c r="K762" s="67">
        <v>5.7</v>
      </c>
      <c r="L762" s="299">
        <f t="shared" si="39"/>
        <v>200</v>
      </c>
      <c r="M762" s="221">
        <v>200</v>
      </c>
      <c r="N762" s="220" t="e">
        <f>IF(OR(M762="nio",M762="eigen dienst"),0,IF(M762&gt;0,M762*K762/O762,0))*VLOOKUP(B762,'2-Kosten per locatie'!$A$14:$C$33,3,FALSE)</f>
        <v>#DIV/0!</v>
      </c>
      <c r="O762" s="300">
        <f>IF(OR(M762="nio",M762="eigen dienst"),0,IF(M762&gt;0,VLOOKUP(H762,'3-Productie normen'!A:J,VLOOKUP(M762,'3-Productie normen'!$B$34:$C$35,2,FALSE),FALSE)))</f>
        <v>0</v>
      </c>
      <c r="P762" s="301" t="str">
        <f>VLOOKUP(H762,'3-Productie normen'!A:L,12,FALSE)</f>
        <v>V</v>
      </c>
      <c r="Q762" s="301"/>
      <c r="S762" s="302">
        <f t="shared" si="40"/>
        <v>1140</v>
      </c>
    </row>
    <row r="763" spans="1:19" ht="14.15" customHeight="1">
      <c r="A763" s="71">
        <v>763</v>
      </c>
      <c r="B763" s="418" t="s">
        <v>207</v>
      </c>
      <c r="C763" s="467" t="s">
        <v>715</v>
      </c>
      <c r="D763" s="467" t="s">
        <v>720</v>
      </c>
      <c r="E763" s="67" t="s">
        <v>713</v>
      </c>
      <c r="F763" s="468" t="s">
        <v>257</v>
      </c>
      <c r="G763" s="67" t="s">
        <v>512</v>
      </c>
      <c r="H763" s="67" t="s">
        <v>39</v>
      </c>
      <c r="I763" s="67" t="s">
        <v>70</v>
      </c>
      <c r="J763" s="67" t="s">
        <v>70</v>
      </c>
      <c r="K763" s="67">
        <v>12.8</v>
      </c>
      <c r="L763" s="299">
        <f t="shared" si="39"/>
        <v>200</v>
      </c>
      <c r="M763" s="221">
        <v>200</v>
      </c>
      <c r="N763" s="220" t="e">
        <f>IF(OR(M763="nio",M763="eigen dienst"),0,IF(M763&gt;0,M763*K763/O763,0))*VLOOKUP(B763,'2-Kosten per locatie'!$A$14:$C$33,3,FALSE)</f>
        <v>#DIV/0!</v>
      </c>
      <c r="O763" s="300">
        <f>IF(OR(M763="nio",M763="eigen dienst"),0,IF(M763&gt;0,VLOOKUP(H763,'3-Productie normen'!A:J,VLOOKUP(M763,'3-Productie normen'!$B$34:$C$35,2,FALSE),FALSE)))</f>
        <v>0</v>
      </c>
      <c r="P763" s="301" t="str">
        <f>VLOOKUP(H763,'3-Productie normen'!A:L,12,FALSE)</f>
        <v>V</v>
      </c>
      <c r="Q763" s="301"/>
      <c r="S763" s="302">
        <f t="shared" si="40"/>
        <v>2560</v>
      </c>
    </row>
    <row r="764" spans="1:19" ht="14.15" customHeight="1">
      <c r="A764" s="71">
        <v>764</v>
      </c>
      <c r="B764" s="418" t="s">
        <v>207</v>
      </c>
      <c r="C764" s="467" t="s">
        <v>715</v>
      </c>
      <c r="D764" s="467" t="s">
        <v>720</v>
      </c>
      <c r="E764" s="67" t="s">
        <v>713</v>
      </c>
      <c r="F764" s="468" t="s">
        <v>258</v>
      </c>
      <c r="G764" s="67" t="s">
        <v>523</v>
      </c>
      <c r="H764" s="67" t="s">
        <v>630</v>
      </c>
      <c r="I764" s="67" t="s">
        <v>72</v>
      </c>
      <c r="J764" s="67" t="s">
        <v>200</v>
      </c>
      <c r="K764" s="67"/>
      <c r="L764" s="299">
        <f t="shared" si="39"/>
        <v>0</v>
      </c>
      <c r="M764" s="221" t="s">
        <v>629</v>
      </c>
      <c r="N764" s="220">
        <f>IF(OR(M764="nio",M764="eigen dienst"),0,IF(M764&gt;0,M764*K764/O764,0))*VLOOKUP(B764,'2-Kosten per locatie'!$A$14:$C$33,3,FALSE)</f>
        <v>0</v>
      </c>
      <c r="O764" s="300">
        <f>IF(OR(M764="nio",M764="eigen dienst"),0,IF(M764&gt;0,VLOOKUP(H764,'3-Productie normen'!A:J,VLOOKUP(M764,'3-Productie normen'!$B$34:$C$35,2,FALSE),FALSE)))</f>
        <v>0</v>
      </c>
      <c r="P764" s="301">
        <f>VLOOKUP(H764,'3-Productie normen'!A:L,12,FALSE)</f>
        <v>0</v>
      </c>
      <c r="Q764" s="301"/>
      <c r="S764" s="302">
        <f t="shared" si="40"/>
        <v>0</v>
      </c>
    </row>
    <row r="765" spans="1:19" ht="14.15" customHeight="1">
      <c r="A765" s="71">
        <v>765</v>
      </c>
      <c r="B765" s="418" t="s">
        <v>207</v>
      </c>
      <c r="C765" s="467" t="s">
        <v>715</v>
      </c>
      <c r="D765" s="467" t="s">
        <v>720</v>
      </c>
      <c r="E765" s="67" t="s">
        <v>713</v>
      </c>
      <c r="F765" s="468" t="s">
        <v>259</v>
      </c>
      <c r="G765" s="67" t="s">
        <v>518</v>
      </c>
      <c r="H765" s="67" t="s">
        <v>630</v>
      </c>
      <c r="I765" s="67" t="s">
        <v>72</v>
      </c>
      <c r="J765" s="67" t="s">
        <v>200</v>
      </c>
      <c r="K765" s="67"/>
      <c r="L765" s="299">
        <f t="shared" si="39"/>
        <v>0</v>
      </c>
      <c r="M765" s="221" t="s">
        <v>629</v>
      </c>
      <c r="N765" s="220">
        <f>IF(OR(M765="nio",M765="eigen dienst"),0,IF(M765&gt;0,M765*K765/O765,0))*VLOOKUP(B765,'2-Kosten per locatie'!$A$14:$C$33,3,FALSE)</f>
        <v>0</v>
      </c>
      <c r="O765" s="300">
        <f>IF(OR(M765="nio",M765="eigen dienst"),0,IF(M765&gt;0,VLOOKUP(H765,'3-Productie normen'!A:J,VLOOKUP(M765,'3-Productie normen'!$B$34:$C$35,2,FALSE),FALSE)))</f>
        <v>0</v>
      </c>
      <c r="P765" s="301">
        <f>VLOOKUP(H765,'3-Productie normen'!A:L,12,FALSE)</f>
        <v>0</v>
      </c>
      <c r="Q765" s="301"/>
      <c r="S765" s="302">
        <f t="shared" si="40"/>
        <v>0</v>
      </c>
    </row>
    <row r="766" spans="1:19" ht="14.15" customHeight="1">
      <c r="A766" s="71">
        <v>766</v>
      </c>
      <c r="B766" s="418" t="s">
        <v>207</v>
      </c>
      <c r="C766" s="467" t="s">
        <v>715</v>
      </c>
      <c r="D766" s="467" t="s">
        <v>720</v>
      </c>
      <c r="E766" s="67" t="s">
        <v>713</v>
      </c>
      <c r="F766" s="468" t="s">
        <v>260</v>
      </c>
      <c r="G766" s="67" t="s">
        <v>515</v>
      </c>
      <c r="H766" s="67" t="s">
        <v>609</v>
      </c>
      <c r="I766" s="67" t="s">
        <v>70</v>
      </c>
      <c r="J766" s="67" t="s">
        <v>70</v>
      </c>
      <c r="K766" s="67">
        <v>51.7</v>
      </c>
      <c r="L766" s="299">
        <f t="shared" si="39"/>
        <v>200</v>
      </c>
      <c r="M766" s="221">
        <v>200</v>
      </c>
      <c r="N766" s="220" t="e">
        <f>IF(OR(M766="nio",M766="eigen dienst"),0,IF(M766&gt;0,M766*K766/O766,0))*VLOOKUP(B766,'2-Kosten per locatie'!$A$14:$C$33,3,FALSE)</f>
        <v>#DIV/0!</v>
      </c>
      <c r="O766" s="300">
        <f>IF(OR(M766="nio",M766="eigen dienst"),0,IF(M766&gt;0,VLOOKUP(H766,'3-Productie normen'!A:J,VLOOKUP(M766,'3-Productie normen'!$B$34:$C$35,2,FALSE),FALSE)))</f>
        <v>0</v>
      </c>
      <c r="P766" s="301" t="str">
        <f>VLOOKUP(H766,'3-Productie normen'!A:L,12,FALSE)</f>
        <v>L</v>
      </c>
      <c r="Q766" s="301"/>
      <c r="S766" s="302">
        <f t="shared" si="40"/>
        <v>10340</v>
      </c>
    </row>
    <row r="767" spans="1:19" ht="14.15" customHeight="1">
      <c r="A767" s="71">
        <v>767</v>
      </c>
      <c r="B767" s="418" t="s">
        <v>207</v>
      </c>
      <c r="C767" s="467" t="s">
        <v>715</v>
      </c>
      <c r="D767" s="467" t="s">
        <v>720</v>
      </c>
      <c r="E767" s="67" t="s">
        <v>713</v>
      </c>
      <c r="F767" s="468" t="s">
        <v>261</v>
      </c>
      <c r="G767" s="67" t="s">
        <v>514</v>
      </c>
      <c r="H767" s="67" t="s">
        <v>37</v>
      </c>
      <c r="I767" s="67" t="s">
        <v>601</v>
      </c>
      <c r="J767" s="67" t="s">
        <v>179</v>
      </c>
      <c r="K767" s="67">
        <v>7.3</v>
      </c>
      <c r="L767" s="299">
        <f t="shared" si="39"/>
        <v>200</v>
      </c>
      <c r="M767" s="221">
        <v>200</v>
      </c>
      <c r="N767" s="220" t="e">
        <f>IF(OR(M767="nio",M767="eigen dienst"),0,IF(M767&gt;0,M767*K767/O767,0))*VLOOKUP(B767,'2-Kosten per locatie'!$A$14:$C$33,3,FALSE)</f>
        <v>#DIV/0!</v>
      </c>
      <c r="O767" s="300">
        <f>IF(OR(M767="nio",M767="eigen dienst"),0,IF(M767&gt;0,VLOOKUP(H767,'3-Productie normen'!A:J,VLOOKUP(M767,'3-Productie normen'!$B$34:$C$35,2,FALSE),FALSE)))</f>
        <v>0</v>
      </c>
      <c r="P767" s="301" t="str">
        <f>VLOOKUP(H767,'3-Productie normen'!A:L,12,FALSE)</f>
        <v>S</v>
      </c>
      <c r="Q767" s="301"/>
      <c r="S767" s="302">
        <f t="shared" si="40"/>
        <v>1460</v>
      </c>
    </row>
    <row r="768" spans="1:19" ht="14.15" customHeight="1">
      <c r="A768" s="71">
        <v>768</v>
      </c>
      <c r="B768" s="418" t="s">
        <v>207</v>
      </c>
      <c r="C768" s="467" t="s">
        <v>715</v>
      </c>
      <c r="D768" s="467" t="s">
        <v>720</v>
      </c>
      <c r="E768" s="67" t="s">
        <v>713</v>
      </c>
      <c r="F768" s="468" t="s">
        <v>262</v>
      </c>
      <c r="G768" s="67" t="s">
        <v>539</v>
      </c>
      <c r="H768" s="67" t="s">
        <v>37</v>
      </c>
      <c r="I768" s="67" t="s">
        <v>601</v>
      </c>
      <c r="J768" s="67" t="s">
        <v>179</v>
      </c>
      <c r="K768" s="67">
        <v>6</v>
      </c>
      <c r="L768" s="299">
        <f t="shared" si="39"/>
        <v>200</v>
      </c>
      <c r="M768" s="221">
        <v>200</v>
      </c>
      <c r="N768" s="220" t="e">
        <f>IF(OR(M768="nio",M768="eigen dienst"),0,IF(M768&gt;0,M768*K768/O768,0))*VLOOKUP(B768,'2-Kosten per locatie'!$A$14:$C$33,3,FALSE)</f>
        <v>#DIV/0!</v>
      </c>
      <c r="O768" s="300">
        <f>IF(OR(M768="nio",M768="eigen dienst"),0,IF(M768&gt;0,VLOOKUP(H768,'3-Productie normen'!A:J,VLOOKUP(M768,'3-Productie normen'!$B$34:$C$35,2,FALSE),FALSE)))</f>
        <v>0</v>
      </c>
      <c r="P768" s="301" t="str">
        <f>VLOOKUP(H768,'3-Productie normen'!A:L,12,FALSE)</f>
        <v>S</v>
      </c>
      <c r="Q768" s="301"/>
      <c r="S768" s="302">
        <f t="shared" si="40"/>
        <v>1200</v>
      </c>
    </row>
    <row r="769" spans="1:19" ht="14.15" customHeight="1">
      <c r="A769" s="71">
        <v>769</v>
      </c>
      <c r="B769" s="418" t="s">
        <v>207</v>
      </c>
      <c r="C769" s="467" t="s">
        <v>715</v>
      </c>
      <c r="D769" s="467" t="s">
        <v>720</v>
      </c>
      <c r="E769" s="67" t="s">
        <v>713</v>
      </c>
      <c r="F769" s="468" t="s">
        <v>263</v>
      </c>
      <c r="G769" s="67" t="s">
        <v>687</v>
      </c>
      <c r="H769" s="67" t="s">
        <v>35</v>
      </c>
      <c r="I769" s="67" t="s">
        <v>70</v>
      </c>
      <c r="J769" s="67" t="s">
        <v>70</v>
      </c>
      <c r="K769" s="67">
        <v>15.5</v>
      </c>
      <c r="L769" s="299">
        <f t="shared" si="39"/>
        <v>200</v>
      </c>
      <c r="M769" s="221">
        <v>200</v>
      </c>
      <c r="N769" s="220" t="e">
        <f>IF(OR(M769="nio",M769="eigen dienst"),0,IF(M769&gt;0,M769*K769/O769,0))*VLOOKUP(B769,'2-Kosten per locatie'!$A$14:$C$33,3,FALSE)</f>
        <v>#DIV/0!</v>
      </c>
      <c r="O769" s="300">
        <f>IF(OR(M769="nio",M769="eigen dienst"),0,IF(M769&gt;0,VLOOKUP(H769,'3-Productie normen'!A:J,VLOOKUP(M769,'3-Productie normen'!$B$34:$C$35,2,FALSE),FALSE)))</f>
        <v>0</v>
      </c>
      <c r="P769" s="301" t="str">
        <f>VLOOKUP(H769,'3-Productie normen'!A:L,12,FALSE)</f>
        <v>B</v>
      </c>
      <c r="Q769" s="301"/>
      <c r="S769" s="302">
        <f t="shared" si="40"/>
        <v>3100</v>
      </c>
    </row>
    <row r="770" spans="1:19" ht="14.15" customHeight="1">
      <c r="A770" s="71">
        <v>770</v>
      </c>
      <c r="B770" s="418" t="s">
        <v>207</v>
      </c>
      <c r="C770" s="467" t="s">
        <v>715</v>
      </c>
      <c r="D770" s="467" t="s">
        <v>720</v>
      </c>
      <c r="E770" s="67" t="s">
        <v>713</v>
      </c>
      <c r="F770" s="468" t="s">
        <v>264</v>
      </c>
      <c r="G770" s="67" t="s">
        <v>538</v>
      </c>
      <c r="H770" s="67" t="s">
        <v>630</v>
      </c>
      <c r="I770" s="67" t="s">
        <v>72</v>
      </c>
      <c r="J770" s="67" t="s">
        <v>200</v>
      </c>
      <c r="K770" s="67"/>
      <c r="L770" s="299">
        <f t="shared" si="39"/>
        <v>0</v>
      </c>
      <c r="M770" s="221" t="s">
        <v>629</v>
      </c>
      <c r="N770" s="220">
        <f>IF(OR(M770="nio",M770="eigen dienst"),0,IF(M770&gt;0,M770*K770/O770,0))*VLOOKUP(B770,'2-Kosten per locatie'!$A$14:$C$33,3,FALSE)</f>
        <v>0</v>
      </c>
      <c r="O770" s="300">
        <f>IF(OR(M770="nio",M770="eigen dienst"),0,IF(M770&gt;0,VLOOKUP(H770,'3-Productie normen'!A:J,VLOOKUP(M770,'3-Productie normen'!$B$34:$C$35,2,FALSE),FALSE)))</f>
        <v>0</v>
      </c>
      <c r="P770" s="301">
        <f>VLOOKUP(H770,'3-Productie normen'!A:L,12,FALSE)</f>
        <v>0</v>
      </c>
      <c r="Q770" s="301"/>
      <c r="S770" s="302">
        <f t="shared" si="40"/>
        <v>0</v>
      </c>
    </row>
    <row r="771" spans="1:19" ht="14.15" customHeight="1">
      <c r="A771" s="71">
        <v>771</v>
      </c>
      <c r="B771" s="418" t="s">
        <v>207</v>
      </c>
      <c r="C771" s="467" t="s">
        <v>715</v>
      </c>
      <c r="D771" s="467" t="s">
        <v>720</v>
      </c>
      <c r="E771" s="67" t="s">
        <v>713</v>
      </c>
      <c r="F771" s="468" t="s">
        <v>292</v>
      </c>
      <c r="G771" s="67" t="s">
        <v>562</v>
      </c>
      <c r="H771" s="67" t="s">
        <v>630</v>
      </c>
      <c r="I771" s="67" t="s">
        <v>72</v>
      </c>
      <c r="J771" s="67" t="s">
        <v>200</v>
      </c>
      <c r="K771" s="67"/>
      <c r="L771" s="299">
        <f t="shared" si="39"/>
        <v>0</v>
      </c>
      <c r="M771" s="221" t="s">
        <v>629</v>
      </c>
      <c r="N771" s="220">
        <f>IF(OR(M771="nio",M771="eigen dienst"),0,IF(M771&gt;0,M771*K771/O771,0))*VLOOKUP(B771,'2-Kosten per locatie'!$A$14:$C$33,3,FALSE)</f>
        <v>0</v>
      </c>
      <c r="O771" s="300">
        <f>IF(OR(M771="nio",M771="eigen dienst"),0,IF(M771&gt;0,VLOOKUP(H771,'3-Productie normen'!A:J,VLOOKUP(M771,'3-Productie normen'!$B$34:$C$35,2,FALSE),FALSE)))</f>
        <v>0</v>
      </c>
      <c r="P771" s="301">
        <f>VLOOKUP(H771,'3-Productie normen'!A:L,12,FALSE)</f>
        <v>0</v>
      </c>
      <c r="Q771" s="301"/>
      <c r="S771" s="302">
        <f t="shared" si="40"/>
        <v>0</v>
      </c>
    </row>
    <row r="772" spans="1:19" ht="14.15" customHeight="1">
      <c r="A772" s="71">
        <v>772</v>
      </c>
      <c r="B772" s="418" t="s">
        <v>207</v>
      </c>
      <c r="C772" s="467" t="s">
        <v>715</v>
      </c>
      <c r="D772" s="467" t="s">
        <v>720</v>
      </c>
      <c r="E772" s="67" t="s">
        <v>713</v>
      </c>
      <c r="F772" s="468" t="s">
        <v>293</v>
      </c>
      <c r="G772" s="67" t="s">
        <v>563</v>
      </c>
      <c r="H772" s="67" t="s">
        <v>630</v>
      </c>
      <c r="I772" s="67" t="s">
        <v>70</v>
      </c>
      <c r="J772" s="67" t="s">
        <v>70</v>
      </c>
      <c r="K772" s="67">
        <v>5.4</v>
      </c>
      <c r="L772" s="299">
        <f t="shared" si="39"/>
        <v>0</v>
      </c>
      <c r="M772" s="221" t="s">
        <v>629</v>
      </c>
      <c r="N772" s="220">
        <f>IF(OR(M772="nio",M772="eigen dienst"),0,IF(M772&gt;0,M772*K772/O772,0))*VLOOKUP(B772,'2-Kosten per locatie'!$A$14:$C$33,3,FALSE)</f>
        <v>0</v>
      </c>
      <c r="O772" s="300">
        <f>IF(OR(M772="nio",M772="eigen dienst"),0,IF(M772&gt;0,VLOOKUP(H772,'3-Productie normen'!A:J,VLOOKUP(M772,'3-Productie normen'!$B$34:$C$35,2,FALSE),FALSE)))</f>
        <v>0</v>
      </c>
      <c r="P772" s="301">
        <f>VLOOKUP(H772,'3-Productie normen'!A:L,12,FALSE)</f>
        <v>0</v>
      </c>
      <c r="Q772" s="301"/>
      <c r="S772" s="302">
        <f t="shared" si="40"/>
        <v>0</v>
      </c>
    </row>
    <row r="773" spans="1:19" ht="14.15" customHeight="1">
      <c r="A773" s="71">
        <v>773</v>
      </c>
      <c r="B773" s="418" t="s">
        <v>207</v>
      </c>
      <c r="C773" s="467" t="s">
        <v>715</v>
      </c>
      <c r="D773" s="467" t="s">
        <v>720</v>
      </c>
      <c r="E773" s="67" t="s">
        <v>713</v>
      </c>
      <c r="F773" s="468" t="s">
        <v>294</v>
      </c>
      <c r="G773" s="67" t="s">
        <v>688</v>
      </c>
      <c r="H773" s="67" t="s">
        <v>630</v>
      </c>
      <c r="I773" s="67" t="s">
        <v>72</v>
      </c>
      <c r="J773" s="67" t="s">
        <v>200</v>
      </c>
      <c r="K773" s="67"/>
      <c r="L773" s="299">
        <f t="shared" si="39"/>
        <v>0</v>
      </c>
      <c r="M773" s="221" t="s">
        <v>629</v>
      </c>
      <c r="N773" s="220">
        <f>IF(OR(M773="nio",M773="eigen dienst"),0,IF(M773&gt;0,M773*K773/O773,0))*VLOOKUP(B773,'2-Kosten per locatie'!$A$14:$C$33,3,FALSE)</f>
        <v>0</v>
      </c>
      <c r="O773" s="300">
        <f>IF(OR(M773="nio",M773="eigen dienst"),0,IF(M773&gt;0,VLOOKUP(H773,'3-Productie normen'!A:J,VLOOKUP(M773,'3-Productie normen'!$B$34:$C$35,2,FALSE),FALSE)))</f>
        <v>0</v>
      </c>
      <c r="P773" s="301">
        <f>VLOOKUP(H773,'3-Productie normen'!A:L,12,FALSE)</f>
        <v>0</v>
      </c>
      <c r="Q773" s="301"/>
      <c r="S773" s="302">
        <f t="shared" si="40"/>
        <v>0</v>
      </c>
    </row>
    <row r="774" spans="1:19" ht="14.15" customHeight="1">
      <c r="A774" s="71">
        <v>774</v>
      </c>
      <c r="B774" s="418" t="s">
        <v>207</v>
      </c>
      <c r="C774" s="467" t="s">
        <v>715</v>
      </c>
      <c r="D774" s="467" t="s">
        <v>720</v>
      </c>
      <c r="E774" s="67" t="s">
        <v>713</v>
      </c>
      <c r="F774" s="468" t="s">
        <v>295</v>
      </c>
      <c r="G774" s="67" t="s">
        <v>538</v>
      </c>
      <c r="H774" s="271" t="s">
        <v>630</v>
      </c>
      <c r="I774" s="67" t="s">
        <v>72</v>
      </c>
      <c r="J774" s="67" t="s">
        <v>200</v>
      </c>
      <c r="K774" s="67"/>
      <c r="L774" s="299">
        <f t="shared" si="39"/>
        <v>0</v>
      </c>
      <c r="M774" s="221" t="s">
        <v>629</v>
      </c>
      <c r="N774" s="220">
        <f>IF(OR(M774="nio",M774="eigen dienst"),0,IF(M774&gt;0,M774*K774/O774,0))*VLOOKUP(B774,'2-Kosten per locatie'!$A$14:$C$33,3,FALSE)</f>
        <v>0</v>
      </c>
      <c r="O774" s="300">
        <f>IF(OR(M774="nio",M774="eigen dienst"),0,IF(M774&gt;0,VLOOKUP(H774,'3-Productie normen'!A:J,VLOOKUP(M774,'3-Productie normen'!$B$34:$C$35,2,FALSE),FALSE)))</f>
        <v>0</v>
      </c>
      <c r="P774" s="301">
        <f>VLOOKUP(H774,'3-Productie normen'!A:L,12,FALSE)</f>
        <v>0</v>
      </c>
      <c r="Q774" s="301"/>
      <c r="S774" s="302">
        <f t="shared" si="40"/>
        <v>0</v>
      </c>
    </row>
    <row r="775" spans="1:19" ht="14.15" customHeight="1">
      <c r="A775" s="71">
        <v>775</v>
      </c>
      <c r="B775" s="418" t="s">
        <v>207</v>
      </c>
      <c r="C775" s="467" t="s">
        <v>715</v>
      </c>
      <c r="D775" s="467" t="s">
        <v>720</v>
      </c>
      <c r="E775" s="67" t="s">
        <v>714</v>
      </c>
      <c r="F775" s="468" t="s">
        <v>443</v>
      </c>
      <c r="G775" s="67" t="s">
        <v>564</v>
      </c>
      <c r="H775" s="271" t="s">
        <v>39</v>
      </c>
      <c r="I775" s="67" t="s">
        <v>70</v>
      </c>
      <c r="J775" s="67" t="s">
        <v>70</v>
      </c>
      <c r="K775" s="67">
        <v>123</v>
      </c>
      <c r="L775" s="299">
        <f t="shared" si="39"/>
        <v>200</v>
      </c>
      <c r="M775" s="221">
        <v>200</v>
      </c>
      <c r="N775" s="220" t="e">
        <f>IF(OR(M775="nio",M775="eigen dienst"),0,IF(M775&gt;0,M775*K775/O775,0))*VLOOKUP(B775,'2-Kosten per locatie'!$A$14:$C$33,3,FALSE)</f>
        <v>#DIV/0!</v>
      </c>
      <c r="O775" s="300">
        <f>IF(OR(M775="nio",M775="eigen dienst"),0,IF(M775&gt;0,VLOOKUP(H775,'3-Productie normen'!A:J,VLOOKUP(M775,'3-Productie normen'!$B$34:$C$35,2,FALSE),FALSE)))</f>
        <v>0</v>
      </c>
      <c r="P775" s="301" t="str">
        <f>VLOOKUP(H775,'3-Productie normen'!A:L,12,FALSE)</f>
        <v>V</v>
      </c>
      <c r="Q775" s="301"/>
      <c r="S775" s="302">
        <f t="shared" si="40"/>
        <v>24600</v>
      </c>
    </row>
    <row r="776" spans="1:19" ht="14.15" customHeight="1">
      <c r="A776" s="71">
        <v>776</v>
      </c>
      <c r="B776" s="418" t="s">
        <v>207</v>
      </c>
      <c r="C776" s="467" t="s">
        <v>715</v>
      </c>
      <c r="D776" s="467" t="s">
        <v>720</v>
      </c>
      <c r="E776" s="67" t="s">
        <v>714</v>
      </c>
      <c r="F776" s="468" t="s">
        <v>444</v>
      </c>
      <c r="G776" s="67" t="s">
        <v>512</v>
      </c>
      <c r="H776" s="67" t="s">
        <v>39</v>
      </c>
      <c r="I776" s="67" t="s">
        <v>70</v>
      </c>
      <c r="J776" s="67" t="s">
        <v>70</v>
      </c>
      <c r="K776" s="67">
        <v>16.2</v>
      </c>
      <c r="L776" s="299">
        <f t="shared" si="39"/>
        <v>200</v>
      </c>
      <c r="M776" s="221">
        <v>200</v>
      </c>
      <c r="N776" s="220" t="e">
        <f>IF(OR(M776="nio",M776="eigen dienst"),0,IF(M776&gt;0,M776*K776/O776,0))*VLOOKUP(B776,'2-Kosten per locatie'!$A$14:$C$33,3,FALSE)</f>
        <v>#DIV/0!</v>
      </c>
      <c r="O776" s="300">
        <f>IF(OR(M776="nio",M776="eigen dienst"),0,IF(M776&gt;0,VLOOKUP(H776,'3-Productie normen'!A:J,VLOOKUP(M776,'3-Productie normen'!$B$34:$C$35,2,FALSE),FALSE)))</f>
        <v>0</v>
      </c>
      <c r="P776" s="301" t="str">
        <f>VLOOKUP(H776,'3-Productie normen'!A:L,12,FALSE)</f>
        <v>V</v>
      </c>
      <c r="Q776" s="301"/>
      <c r="S776" s="302">
        <f t="shared" si="40"/>
        <v>3240</v>
      </c>
    </row>
    <row r="777" spans="1:19" ht="14.15" customHeight="1">
      <c r="A777" s="71">
        <v>777</v>
      </c>
      <c r="B777" s="418" t="s">
        <v>207</v>
      </c>
      <c r="C777" s="467" t="s">
        <v>715</v>
      </c>
      <c r="D777" s="467" t="s">
        <v>720</v>
      </c>
      <c r="E777" s="67" t="s">
        <v>714</v>
      </c>
      <c r="F777" s="468" t="s">
        <v>445</v>
      </c>
      <c r="G777" s="67" t="s">
        <v>575</v>
      </c>
      <c r="H777" s="67" t="s">
        <v>35</v>
      </c>
      <c r="I777" s="67" t="s">
        <v>70</v>
      </c>
      <c r="J777" s="67" t="s">
        <v>70</v>
      </c>
      <c r="K777" s="67">
        <v>28.2</v>
      </c>
      <c r="L777" s="299">
        <f t="shared" si="39"/>
        <v>200</v>
      </c>
      <c r="M777" s="221">
        <v>200</v>
      </c>
      <c r="N777" s="220" t="e">
        <f>IF(OR(M777="nio",M777="eigen dienst"),0,IF(M777&gt;0,M777*K777/O777,0))*VLOOKUP(B777,'2-Kosten per locatie'!$A$14:$C$33,3,FALSE)</f>
        <v>#DIV/0!</v>
      </c>
      <c r="O777" s="300">
        <f>IF(OR(M777="nio",M777="eigen dienst"),0,IF(M777&gt;0,VLOOKUP(H777,'3-Productie normen'!A:J,VLOOKUP(M777,'3-Productie normen'!$B$34:$C$35,2,FALSE),FALSE)))</f>
        <v>0</v>
      </c>
      <c r="P777" s="301" t="str">
        <f>VLOOKUP(H777,'3-Productie normen'!A:L,12,FALSE)</f>
        <v>B</v>
      </c>
      <c r="Q777" s="301"/>
      <c r="S777" s="302">
        <f t="shared" si="40"/>
        <v>5640</v>
      </c>
    </row>
    <row r="778" spans="1:19" ht="14.15" customHeight="1">
      <c r="A778" s="71">
        <v>778</v>
      </c>
      <c r="B778" s="418" t="s">
        <v>207</v>
      </c>
      <c r="C778" s="467" t="s">
        <v>715</v>
      </c>
      <c r="D778" s="467" t="s">
        <v>720</v>
      </c>
      <c r="E778" s="67" t="s">
        <v>714</v>
      </c>
      <c r="F778" s="468" t="s">
        <v>446</v>
      </c>
      <c r="G778" s="67" t="s">
        <v>516</v>
      </c>
      <c r="H778" s="67" t="s">
        <v>35</v>
      </c>
      <c r="I778" s="67" t="s">
        <v>70</v>
      </c>
      <c r="J778" s="67" t="s">
        <v>70</v>
      </c>
      <c r="K778" s="67">
        <v>15.5</v>
      </c>
      <c r="L778" s="299">
        <f t="shared" ref="L778:L841" si="41">SUM(M778:M778)</f>
        <v>200</v>
      </c>
      <c r="M778" s="221">
        <v>200</v>
      </c>
      <c r="N778" s="220" t="e">
        <f>IF(OR(M778="nio",M778="eigen dienst"),0,IF(M778&gt;0,M778*K778/O778,0))*VLOOKUP(B778,'2-Kosten per locatie'!$A$14:$C$33,3,FALSE)</f>
        <v>#DIV/0!</v>
      </c>
      <c r="O778" s="300">
        <f>IF(OR(M778="nio",M778="eigen dienst"),0,IF(M778&gt;0,VLOOKUP(H778,'3-Productie normen'!A:J,VLOOKUP(M778,'3-Productie normen'!$B$34:$C$35,2,FALSE),FALSE)))</f>
        <v>0</v>
      </c>
      <c r="P778" s="301" t="str">
        <f>VLOOKUP(H778,'3-Productie normen'!A:L,12,FALSE)</f>
        <v>B</v>
      </c>
      <c r="Q778" s="301"/>
      <c r="S778" s="302">
        <f t="shared" ref="S778:S841" si="42">L778*K778</f>
        <v>3100</v>
      </c>
    </row>
    <row r="779" spans="1:19" ht="14.15" customHeight="1">
      <c r="A779" s="71">
        <v>779</v>
      </c>
      <c r="B779" s="418" t="s">
        <v>207</v>
      </c>
      <c r="C779" s="467" t="s">
        <v>715</v>
      </c>
      <c r="D779" s="467" t="s">
        <v>720</v>
      </c>
      <c r="E779" s="67" t="s">
        <v>714</v>
      </c>
      <c r="F779" s="468" t="s">
        <v>447</v>
      </c>
      <c r="G779" s="67" t="s">
        <v>580</v>
      </c>
      <c r="H779" s="67" t="s">
        <v>35</v>
      </c>
      <c r="I779" s="67" t="s">
        <v>70</v>
      </c>
      <c r="J779" s="67" t="s">
        <v>70</v>
      </c>
      <c r="K779" s="67">
        <v>15.5</v>
      </c>
      <c r="L779" s="299">
        <f t="shared" si="41"/>
        <v>200</v>
      </c>
      <c r="M779" s="221">
        <v>200</v>
      </c>
      <c r="N779" s="220" t="e">
        <f>IF(OR(M779="nio",M779="eigen dienst"),0,IF(M779&gt;0,M779*K779/O779,0))*VLOOKUP(B779,'2-Kosten per locatie'!$A$14:$C$33,3,FALSE)</f>
        <v>#DIV/0!</v>
      </c>
      <c r="O779" s="300">
        <f>IF(OR(M779="nio",M779="eigen dienst"),0,IF(M779&gt;0,VLOOKUP(H779,'3-Productie normen'!A:J,VLOOKUP(M779,'3-Productie normen'!$B$34:$C$35,2,FALSE),FALSE)))</f>
        <v>0</v>
      </c>
      <c r="P779" s="301" t="str">
        <f>VLOOKUP(H779,'3-Productie normen'!A:L,12,FALSE)</f>
        <v>B</v>
      </c>
      <c r="Q779" s="301"/>
      <c r="S779" s="302">
        <f t="shared" si="42"/>
        <v>3100</v>
      </c>
    </row>
    <row r="780" spans="1:19" ht="14.15" customHeight="1">
      <c r="A780" s="71">
        <v>780</v>
      </c>
      <c r="B780" s="418" t="s">
        <v>207</v>
      </c>
      <c r="C780" s="467" t="s">
        <v>715</v>
      </c>
      <c r="D780" s="467" t="s">
        <v>720</v>
      </c>
      <c r="E780" s="67" t="s">
        <v>714</v>
      </c>
      <c r="F780" s="468" t="s">
        <v>448</v>
      </c>
      <c r="G780" s="67" t="s">
        <v>689</v>
      </c>
      <c r="H780" s="67" t="s">
        <v>35</v>
      </c>
      <c r="I780" s="67" t="s">
        <v>70</v>
      </c>
      <c r="J780" s="67" t="s">
        <v>70</v>
      </c>
      <c r="K780" s="67">
        <v>15.5</v>
      </c>
      <c r="L780" s="299">
        <f t="shared" si="41"/>
        <v>200</v>
      </c>
      <c r="M780" s="221">
        <v>200</v>
      </c>
      <c r="N780" s="220" t="e">
        <f>IF(OR(M780="nio",M780="eigen dienst"),0,IF(M780&gt;0,M780*K780/O780,0))*VLOOKUP(B780,'2-Kosten per locatie'!$A$14:$C$33,3,FALSE)</f>
        <v>#DIV/0!</v>
      </c>
      <c r="O780" s="300">
        <f>IF(OR(M780="nio",M780="eigen dienst"),0,IF(M780&gt;0,VLOOKUP(H780,'3-Productie normen'!A:J,VLOOKUP(M780,'3-Productie normen'!$B$34:$C$35,2,FALSE),FALSE)))</f>
        <v>0</v>
      </c>
      <c r="P780" s="301" t="str">
        <f>VLOOKUP(H780,'3-Productie normen'!A:L,12,FALSE)</f>
        <v>B</v>
      </c>
      <c r="Q780" s="301"/>
      <c r="S780" s="302">
        <f t="shared" si="42"/>
        <v>3100</v>
      </c>
    </row>
    <row r="781" spans="1:19" ht="14.15" customHeight="1">
      <c r="A781" s="71">
        <v>781</v>
      </c>
      <c r="B781" s="418" t="s">
        <v>207</v>
      </c>
      <c r="C781" s="467" t="s">
        <v>715</v>
      </c>
      <c r="D781" s="467" t="s">
        <v>720</v>
      </c>
      <c r="E781" s="67" t="s">
        <v>714</v>
      </c>
      <c r="F781" s="468" t="s">
        <v>449</v>
      </c>
      <c r="G781" s="67" t="s">
        <v>512</v>
      </c>
      <c r="H781" s="67" t="s">
        <v>39</v>
      </c>
      <c r="I781" s="67" t="s">
        <v>70</v>
      </c>
      <c r="J781" s="67" t="s">
        <v>70</v>
      </c>
      <c r="K781" s="67">
        <v>5.7</v>
      </c>
      <c r="L781" s="299">
        <f t="shared" si="41"/>
        <v>200</v>
      </c>
      <c r="M781" s="221">
        <v>200</v>
      </c>
      <c r="N781" s="220" t="e">
        <f>IF(OR(M781="nio",M781="eigen dienst"),0,IF(M781&gt;0,M781*K781/O781,0))*VLOOKUP(B781,'2-Kosten per locatie'!$A$14:$C$33,3,FALSE)</f>
        <v>#DIV/0!</v>
      </c>
      <c r="O781" s="300">
        <f>IF(OR(M781="nio",M781="eigen dienst"),0,IF(M781&gt;0,VLOOKUP(H781,'3-Productie normen'!A:J,VLOOKUP(M781,'3-Productie normen'!$B$34:$C$35,2,FALSE),FALSE)))</f>
        <v>0</v>
      </c>
      <c r="P781" s="301" t="str">
        <f>VLOOKUP(H781,'3-Productie normen'!A:L,12,FALSE)</f>
        <v>V</v>
      </c>
      <c r="Q781" s="301"/>
      <c r="S781" s="302">
        <f t="shared" si="42"/>
        <v>1140</v>
      </c>
    </row>
    <row r="782" spans="1:19" ht="14.15" customHeight="1">
      <c r="A782" s="71">
        <v>782</v>
      </c>
      <c r="B782" s="418" t="s">
        <v>207</v>
      </c>
      <c r="C782" s="467" t="s">
        <v>715</v>
      </c>
      <c r="D782" s="467" t="s">
        <v>720</v>
      </c>
      <c r="E782" s="67" t="s">
        <v>714</v>
      </c>
      <c r="F782" s="468" t="s">
        <v>450</v>
      </c>
      <c r="G782" s="67" t="s">
        <v>690</v>
      </c>
      <c r="H782" s="271" t="s">
        <v>44</v>
      </c>
      <c r="I782" s="67" t="s">
        <v>70</v>
      </c>
      <c r="J782" s="418" t="s">
        <v>70</v>
      </c>
      <c r="K782" s="67"/>
      <c r="L782" s="299">
        <f t="shared" si="41"/>
        <v>0</v>
      </c>
      <c r="M782" s="221" t="s">
        <v>629</v>
      </c>
      <c r="N782" s="220">
        <f>IF(OR(M782="nio",M782="eigen dienst"),0,IF(M782&gt;0,M782*K782/O782,0))*VLOOKUP(B782,'2-Kosten per locatie'!$A$14:$C$33,3,FALSE)</f>
        <v>0</v>
      </c>
      <c r="O782" s="300">
        <f>IF(OR(M782="nio",M782="eigen dienst"),0,IF(M782&gt;0,VLOOKUP(H782,'3-Productie normen'!A:J,VLOOKUP(M782,'3-Productie normen'!$B$34:$C$35,2,FALSE),FALSE)))</f>
        <v>0</v>
      </c>
      <c r="P782" s="301" t="str">
        <f>VLOOKUP(H782,'3-Productie normen'!A:L,12,FALSE)</f>
        <v>V</v>
      </c>
      <c r="Q782" s="301"/>
      <c r="S782" s="302">
        <f t="shared" si="42"/>
        <v>0</v>
      </c>
    </row>
    <row r="783" spans="1:19" ht="14.15" customHeight="1">
      <c r="A783" s="71">
        <v>783</v>
      </c>
      <c r="B783" s="418" t="s">
        <v>207</v>
      </c>
      <c r="C783" s="467" t="s">
        <v>715</v>
      </c>
      <c r="D783" s="467" t="s">
        <v>720</v>
      </c>
      <c r="E783" s="67" t="s">
        <v>714</v>
      </c>
      <c r="F783" s="468" t="s">
        <v>451</v>
      </c>
      <c r="G783" s="67" t="s">
        <v>514</v>
      </c>
      <c r="H783" s="67" t="s">
        <v>37</v>
      </c>
      <c r="I783" s="67" t="s">
        <v>601</v>
      </c>
      <c r="J783" s="67" t="s">
        <v>179</v>
      </c>
      <c r="K783" s="67">
        <v>6.7</v>
      </c>
      <c r="L783" s="299">
        <f t="shared" si="41"/>
        <v>200</v>
      </c>
      <c r="M783" s="221">
        <v>200</v>
      </c>
      <c r="N783" s="220" t="e">
        <f>IF(OR(M783="nio",M783="eigen dienst"),0,IF(M783&gt;0,M783*K783/O783,0))*VLOOKUP(B783,'2-Kosten per locatie'!$A$14:$C$33,3,FALSE)</f>
        <v>#DIV/0!</v>
      </c>
      <c r="O783" s="300">
        <f>IF(OR(M783="nio",M783="eigen dienst"),0,IF(M783&gt;0,VLOOKUP(H783,'3-Productie normen'!A:J,VLOOKUP(M783,'3-Productie normen'!$B$34:$C$35,2,FALSE),FALSE)))</f>
        <v>0</v>
      </c>
      <c r="P783" s="301" t="str">
        <f>VLOOKUP(H783,'3-Productie normen'!A:L,12,FALSE)</f>
        <v>S</v>
      </c>
      <c r="Q783" s="301"/>
      <c r="S783" s="302">
        <f t="shared" si="42"/>
        <v>1340</v>
      </c>
    </row>
    <row r="784" spans="1:19" ht="14.15" customHeight="1">
      <c r="A784" s="71">
        <v>784</v>
      </c>
      <c r="B784" s="418" t="s">
        <v>207</v>
      </c>
      <c r="C784" s="467" t="s">
        <v>715</v>
      </c>
      <c r="D784" s="467" t="s">
        <v>720</v>
      </c>
      <c r="E784" s="67" t="s">
        <v>714</v>
      </c>
      <c r="F784" s="468" t="s">
        <v>308</v>
      </c>
      <c r="G784" s="67" t="s">
        <v>589</v>
      </c>
      <c r="H784" s="271" t="s">
        <v>43</v>
      </c>
      <c r="I784" s="67" t="s">
        <v>70</v>
      </c>
      <c r="J784" s="67" t="s">
        <v>70</v>
      </c>
      <c r="K784" s="67">
        <v>31.8</v>
      </c>
      <c r="L784" s="299">
        <f t="shared" si="41"/>
        <v>200</v>
      </c>
      <c r="M784" s="221">
        <v>200</v>
      </c>
      <c r="N784" s="220" t="e">
        <f>IF(OR(M784="nio",M784="eigen dienst"),0,IF(M784&gt;0,M784*K784/O784,0))*VLOOKUP(B784,'2-Kosten per locatie'!$A$14:$C$33,3,FALSE)</f>
        <v>#DIV/0!</v>
      </c>
      <c r="O784" s="300">
        <f>IF(OR(M784="nio",M784="eigen dienst"),0,IF(M784&gt;0,VLOOKUP(H784,'3-Productie normen'!A:J,VLOOKUP(M784,'3-Productie normen'!$B$34:$C$35,2,FALSE),FALSE)))</f>
        <v>0</v>
      </c>
      <c r="P784" s="301" t="str">
        <f>VLOOKUP(H784,'3-Productie normen'!A:L,12,FALSE)</f>
        <v>B</v>
      </c>
      <c r="Q784" s="301"/>
      <c r="S784" s="302">
        <f t="shared" si="42"/>
        <v>6360</v>
      </c>
    </row>
    <row r="785" spans="1:19" ht="14.15" customHeight="1">
      <c r="A785" s="71">
        <v>785</v>
      </c>
      <c r="B785" s="418" t="s">
        <v>207</v>
      </c>
      <c r="C785" s="467" t="s">
        <v>715</v>
      </c>
      <c r="D785" s="467" t="s">
        <v>720</v>
      </c>
      <c r="E785" s="67" t="s">
        <v>714</v>
      </c>
      <c r="F785" s="468" t="s">
        <v>309</v>
      </c>
      <c r="G785" s="67" t="s">
        <v>589</v>
      </c>
      <c r="H785" s="271" t="s">
        <v>43</v>
      </c>
      <c r="I785" s="67" t="s">
        <v>70</v>
      </c>
      <c r="J785" s="67" t="s">
        <v>70</v>
      </c>
      <c r="K785" s="67">
        <v>40.5</v>
      </c>
      <c r="L785" s="299">
        <f t="shared" si="41"/>
        <v>200</v>
      </c>
      <c r="M785" s="221">
        <v>200</v>
      </c>
      <c r="N785" s="220" t="e">
        <f>IF(OR(M785="nio",M785="eigen dienst"),0,IF(M785&gt;0,M785*K785/O785,0))*VLOOKUP(B785,'2-Kosten per locatie'!$A$14:$C$33,3,FALSE)</f>
        <v>#DIV/0!</v>
      </c>
      <c r="O785" s="300">
        <f>IF(OR(M785="nio",M785="eigen dienst"),0,IF(M785&gt;0,VLOOKUP(H785,'3-Productie normen'!A:J,VLOOKUP(M785,'3-Productie normen'!$B$34:$C$35,2,FALSE),FALSE)))</f>
        <v>0</v>
      </c>
      <c r="P785" s="301" t="str">
        <f>VLOOKUP(H785,'3-Productie normen'!A:L,12,FALSE)</f>
        <v>B</v>
      </c>
      <c r="Q785" s="301"/>
      <c r="S785" s="302">
        <f t="shared" si="42"/>
        <v>8100</v>
      </c>
    </row>
    <row r="786" spans="1:19" ht="14.15" customHeight="1">
      <c r="A786" s="71">
        <v>786</v>
      </c>
      <c r="B786" s="418" t="s">
        <v>207</v>
      </c>
      <c r="C786" s="467" t="s">
        <v>715</v>
      </c>
      <c r="D786" s="467" t="s">
        <v>720</v>
      </c>
      <c r="E786" s="67" t="s">
        <v>714</v>
      </c>
      <c r="F786" s="468" t="s">
        <v>310</v>
      </c>
      <c r="G786" s="67" t="s">
        <v>512</v>
      </c>
      <c r="H786" s="67" t="s">
        <v>39</v>
      </c>
      <c r="I786" s="67" t="s">
        <v>70</v>
      </c>
      <c r="J786" s="418" t="s">
        <v>70</v>
      </c>
      <c r="K786" s="67">
        <v>5.7</v>
      </c>
      <c r="L786" s="299">
        <f t="shared" si="41"/>
        <v>200</v>
      </c>
      <c r="M786" s="221">
        <v>200</v>
      </c>
      <c r="N786" s="220" t="e">
        <f>IF(OR(M786="nio",M786="eigen dienst"),0,IF(M786&gt;0,M786*K786/O786,0))*VLOOKUP(B786,'2-Kosten per locatie'!$A$14:$C$33,3,FALSE)</f>
        <v>#DIV/0!</v>
      </c>
      <c r="O786" s="300">
        <f>IF(OR(M786="nio",M786="eigen dienst"),0,IF(M786&gt;0,VLOOKUP(H786,'3-Productie normen'!A:J,VLOOKUP(M786,'3-Productie normen'!$B$34:$C$35,2,FALSE),FALSE)))</f>
        <v>0</v>
      </c>
      <c r="P786" s="301" t="str">
        <f>VLOOKUP(H786,'3-Productie normen'!A:L,12,FALSE)</f>
        <v>V</v>
      </c>
      <c r="Q786" s="301"/>
      <c r="S786" s="302">
        <f t="shared" si="42"/>
        <v>1140</v>
      </c>
    </row>
    <row r="787" spans="1:19" ht="14.15" customHeight="1">
      <c r="A787" s="71">
        <v>787</v>
      </c>
      <c r="B787" s="418" t="s">
        <v>207</v>
      </c>
      <c r="C787" s="467" t="s">
        <v>715</v>
      </c>
      <c r="D787" s="467" t="s">
        <v>720</v>
      </c>
      <c r="E787" s="67" t="s">
        <v>714</v>
      </c>
      <c r="F787" s="468" t="s">
        <v>311</v>
      </c>
      <c r="G787" s="67" t="s">
        <v>519</v>
      </c>
      <c r="H787" s="271" t="s">
        <v>41</v>
      </c>
      <c r="I787" s="67" t="s">
        <v>70</v>
      </c>
      <c r="J787" s="418" t="s">
        <v>70</v>
      </c>
      <c r="K787" s="67">
        <v>7.1</v>
      </c>
      <c r="L787" s="299">
        <f t="shared" si="41"/>
        <v>200</v>
      </c>
      <c r="M787" s="221">
        <v>200</v>
      </c>
      <c r="N787" s="220" t="e">
        <f>IF(OR(M787="nio",M787="eigen dienst"),0,IF(M787&gt;0,M787*K787/O787,0))*VLOOKUP(B787,'2-Kosten per locatie'!$A$14:$C$33,3,FALSE)</f>
        <v>#DIV/0!</v>
      </c>
      <c r="O787" s="300">
        <f>IF(OR(M787="nio",M787="eigen dienst"),0,IF(M787&gt;0,VLOOKUP(H787,'3-Productie normen'!A:J,VLOOKUP(M787,'3-Productie normen'!$B$34:$C$35,2,FALSE),FALSE)))</f>
        <v>0</v>
      </c>
      <c r="P787" s="301" t="str">
        <f>VLOOKUP(H787,'3-Productie normen'!A:L,12,FALSE)</f>
        <v>V</v>
      </c>
      <c r="Q787" s="301"/>
      <c r="S787" s="302">
        <f t="shared" si="42"/>
        <v>1420</v>
      </c>
    </row>
    <row r="788" spans="1:19" ht="14.15" customHeight="1">
      <c r="A788" s="71">
        <v>788</v>
      </c>
      <c r="B788" s="418" t="s">
        <v>207</v>
      </c>
      <c r="C788" s="467" t="s">
        <v>715</v>
      </c>
      <c r="D788" s="467" t="s">
        <v>720</v>
      </c>
      <c r="E788" s="67" t="s">
        <v>714</v>
      </c>
      <c r="F788" s="468" t="s">
        <v>312</v>
      </c>
      <c r="G788" s="67" t="s">
        <v>690</v>
      </c>
      <c r="H788" s="271" t="s">
        <v>44</v>
      </c>
      <c r="I788" s="67" t="s">
        <v>70</v>
      </c>
      <c r="J788" s="67" t="s">
        <v>70</v>
      </c>
      <c r="K788" s="67"/>
      <c r="L788" s="299">
        <f t="shared" si="41"/>
        <v>0</v>
      </c>
      <c r="M788" s="221" t="s">
        <v>629</v>
      </c>
      <c r="N788" s="220">
        <f>IF(OR(M788="nio",M788="eigen dienst"),0,IF(M788&gt;0,M788*K788/O788,0))*VLOOKUP(B788,'2-Kosten per locatie'!$A$14:$C$33,3,FALSE)</f>
        <v>0</v>
      </c>
      <c r="O788" s="300">
        <f>IF(OR(M788="nio",M788="eigen dienst"),0,IF(M788&gt;0,VLOOKUP(H788,'3-Productie normen'!A:J,VLOOKUP(M788,'3-Productie normen'!$B$34:$C$35,2,FALSE),FALSE)))</f>
        <v>0</v>
      </c>
      <c r="P788" s="301" t="str">
        <f>VLOOKUP(H788,'3-Productie normen'!A:L,12,FALSE)</f>
        <v>V</v>
      </c>
      <c r="Q788" s="301"/>
      <c r="S788" s="302">
        <f t="shared" si="42"/>
        <v>0</v>
      </c>
    </row>
    <row r="789" spans="1:19" ht="14.15" customHeight="1">
      <c r="A789" s="71">
        <v>789</v>
      </c>
      <c r="B789" s="418" t="s">
        <v>207</v>
      </c>
      <c r="C789" s="467" t="s">
        <v>715</v>
      </c>
      <c r="D789" s="467" t="s">
        <v>720</v>
      </c>
      <c r="E789" s="67" t="s">
        <v>714</v>
      </c>
      <c r="F789" s="468" t="s">
        <v>313</v>
      </c>
      <c r="G789" s="67" t="s">
        <v>514</v>
      </c>
      <c r="H789" s="67" t="s">
        <v>37</v>
      </c>
      <c r="I789" s="67" t="s">
        <v>601</v>
      </c>
      <c r="J789" s="67" t="s">
        <v>179</v>
      </c>
      <c r="K789" s="67">
        <v>6.7</v>
      </c>
      <c r="L789" s="299">
        <f t="shared" si="41"/>
        <v>200</v>
      </c>
      <c r="M789" s="221">
        <v>200</v>
      </c>
      <c r="N789" s="220" t="e">
        <f>IF(OR(M789="nio",M789="eigen dienst"),0,IF(M789&gt;0,M789*K789/O789,0))*VLOOKUP(B789,'2-Kosten per locatie'!$A$14:$C$33,3,FALSE)</f>
        <v>#DIV/0!</v>
      </c>
      <c r="O789" s="300">
        <f>IF(OR(M789="nio",M789="eigen dienst"),0,IF(M789&gt;0,VLOOKUP(H789,'3-Productie normen'!A:J,VLOOKUP(M789,'3-Productie normen'!$B$34:$C$35,2,FALSE),FALSE)))</f>
        <v>0</v>
      </c>
      <c r="P789" s="301" t="str">
        <f>VLOOKUP(H789,'3-Productie normen'!A:L,12,FALSE)</f>
        <v>S</v>
      </c>
      <c r="Q789" s="301"/>
      <c r="S789" s="302">
        <f t="shared" si="42"/>
        <v>1340</v>
      </c>
    </row>
    <row r="790" spans="1:19" ht="14.15" customHeight="1">
      <c r="A790" s="71">
        <v>790</v>
      </c>
      <c r="B790" s="418" t="s">
        <v>207</v>
      </c>
      <c r="C790" s="467" t="s">
        <v>715</v>
      </c>
      <c r="D790" s="467" t="s">
        <v>720</v>
      </c>
      <c r="E790" s="67" t="s">
        <v>714</v>
      </c>
      <c r="F790" s="468" t="s">
        <v>314</v>
      </c>
      <c r="G790" s="67" t="s">
        <v>691</v>
      </c>
      <c r="H790" s="67" t="s">
        <v>35</v>
      </c>
      <c r="I790" s="67" t="s">
        <v>70</v>
      </c>
      <c r="J790" s="418" t="s">
        <v>70</v>
      </c>
      <c r="K790" s="67">
        <v>22.1</v>
      </c>
      <c r="L790" s="299">
        <f t="shared" si="41"/>
        <v>200</v>
      </c>
      <c r="M790" s="221">
        <v>200</v>
      </c>
      <c r="N790" s="220" t="e">
        <f>IF(OR(M790="nio",M790="eigen dienst"),0,IF(M790&gt;0,M790*K790/O790,0))*VLOOKUP(B790,'2-Kosten per locatie'!$A$14:$C$33,3,FALSE)</f>
        <v>#DIV/0!</v>
      </c>
      <c r="O790" s="300">
        <f>IF(OR(M790="nio",M790="eigen dienst"),0,IF(M790&gt;0,VLOOKUP(H790,'3-Productie normen'!A:J,VLOOKUP(M790,'3-Productie normen'!$B$34:$C$35,2,FALSE),FALSE)))</f>
        <v>0</v>
      </c>
      <c r="P790" s="301" t="str">
        <f>VLOOKUP(H790,'3-Productie normen'!A:L,12,FALSE)</f>
        <v>B</v>
      </c>
      <c r="Q790" s="301"/>
      <c r="S790" s="302">
        <f t="shared" si="42"/>
        <v>4420</v>
      </c>
    </row>
    <row r="791" spans="1:19" ht="14.15" customHeight="1">
      <c r="A791" s="71">
        <v>791</v>
      </c>
      <c r="B791" s="418" t="s">
        <v>207</v>
      </c>
      <c r="C791" s="467" t="s">
        <v>715</v>
      </c>
      <c r="D791" s="467" t="s">
        <v>720</v>
      </c>
      <c r="E791" s="67" t="s">
        <v>714</v>
      </c>
      <c r="F791" s="468" t="s">
        <v>315</v>
      </c>
      <c r="G791" s="67" t="s">
        <v>692</v>
      </c>
      <c r="H791" s="67" t="s">
        <v>35</v>
      </c>
      <c r="I791" s="67" t="s">
        <v>70</v>
      </c>
      <c r="J791" s="67" t="s">
        <v>70</v>
      </c>
      <c r="K791" s="67">
        <v>16.7</v>
      </c>
      <c r="L791" s="299">
        <f t="shared" si="41"/>
        <v>200</v>
      </c>
      <c r="M791" s="221">
        <v>200</v>
      </c>
      <c r="N791" s="220" t="e">
        <f>IF(OR(M791="nio",M791="eigen dienst"),0,IF(M791&gt;0,M791*K791/O791,0))*VLOOKUP(B791,'2-Kosten per locatie'!$A$14:$C$33,3,FALSE)</f>
        <v>#DIV/0!</v>
      </c>
      <c r="O791" s="300">
        <f>IF(OR(M791="nio",M791="eigen dienst"),0,IF(M791&gt;0,VLOOKUP(H791,'3-Productie normen'!A:J,VLOOKUP(M791,'3-Productie normen'!$B$34:$C$35,2,FALSE),FALSE)))</f>
        <v>0</v>
      </c>
      <c r="P791" s="301" t="str">
        <f>VLOOKUP(H791,'3-Productie normen'!A:L,12,FALSE)</f>
        <v>B</v>
      </c>
      <c r="Q791" s="301"/>
      <c r="S791" s="302">
        <f t="shared" si="42"/>
        <v>3340</v>
      </c>
    </row>
    <row r="792" spans="1:19" ht="14.15" customHeight="1">
      <c r="A792" s="71">
        <v>792</v>
      </c>
      <c r="B792" s="418" t="s">
        <v>207</v>
      </c>
      <c r="C792" s="467" t="s">
        <v>715</v>
      </c>
      <c r="D792" s="467" t="s">
        <v>720</v>
      </c>
      <c r="E792" s="67" t="s">
        <v>714</v>
      </c>
      <c r="F792" s="468" t="s">
        <v>316</v>
      </c>
      <c r="G792" s="67" t="s">
        <v>580</v>
      </c>
      <c r="H792" s="67" t="s">
        <v>35</v>
      </c>
      <c r="I792" s="67" t="s">
        <v>70</v>
      </c>
      <c r="J792" s="418" t="s">
        <v>70</v>
      </c>
      <c r="K792" s="67">
        <v>28.3</v>
      </c>
      <c r="L792" s="299">
        <f t="shared" si="41"/>
        <v>200</v>
      </c>
      <c r="M792" s="221">
        <v>200</v>
      </c>
      <c r="N792" s="220" t="e">
        <f>IF(OR(M792="nio",M792="eigen dienst"),0,IF(M792&gt;0,M792*K792/O792,0))*VLOOKUP(B792,'2-Kosten per locatie'!$A$14:$C$33,3,FALSE)</f>
        <v>#DIV/0!</v>
      </c>
      <c r="O792" s="300">
        <f>IF(OR(M792="nio",M792="eigen dienst"),0,IF(M792&gt;0,VLOOKUP(H792,'3-Productie normen'!A:J,VLOOKUP(M792,'3-Productie normen'!$B$34:$C$35,2,FALSE),FALSE)))</f>
        <v>0</v>
      </c>
      <c r="P792" s="301" t="str">
        <f>VLOOKUP(H792,'3-Productie normen'!A:L,12,FALSE)</f>
        <v>B</v>
      </c>
      <c r="Q792" s="301"/>
      <c r="S792" s="302">
        <f t="shared" si="42"/>
        <v>5660</v>
      </c>
    </row>
    <row r="793" spans="1:19" ht="14.15" customHeight="1">
      <c r="A793" s="71">
        <v>793</v>
      </c>
      <c r="B793" s="418" t="s">
        <v>207</v>
      </c>
      <c r="C793" s="467" t="s">
        <v>715</v>
      </c>
      <c r="D793" s="467" t="s">
        <v>720</v>
      </c>
      <c r="E793" s="67" t="s">
        <v>714</v>
      </c>
      <c r="F793" s="468" t="s">
        <v>317</v>
      </c>
      <c r="G793" s="67" t="s">
        <v>512</v>
      </c>
      <c r="H793" s="271" t="s">
        <v>630</v>
      </c>
      <c r="I793" s="67" t="s">
        <v>70</v>
      </c>
      <c r="J793" s="418" t="s">
        <v>70</v>
      </c>
      <c r="K793" s="67"/>
      <c r="L793" s="299">
        <f t="shared" si="41"/>
        <v>0</v>
      </c>
      <c r="M793" s="221" t="s">
        <v>629</v>
      </c>
      <c r="N793" s="220">
        <f>IF(OR(M793="nio",M793="eigen dienst"),0,IF(M793&gt;0,M793*K793/O793,0))*VLOOKUP(B793,'2-Kosten per locatie'!$A$14:$C$33,3,FALSE)</f>
        <v>0</v>
      </c>
      <c r="O793" s="300">
        <f>IF(OR(M793="nio",M793="eigen dienst"),0,IF(M793&gt;0,VLOOKUP(H793,'3-Productie normen'!A:J,VLOOKUP(M793,'3-Productie normen'!$B$34:$C$35,2,FALSE),FALSE)))</f>
        <v>0</v>
      </c>
      <c r="P793" s="301">
        <f>VLOOKUP(H793,'3-Productie normen'!A:L,12,FALSE)</f>
        <v>0</v>
      </c>
      <c r="Q793" s="301"/>
      <c r="S793" s="302">
        <f t="shared" si="42"/>
        <v>0</v>
      </c>
    </row>
    <row r="794" spans="1:19" ht="14.15" customHeight="1">
      <c r="A794" s="71">
        <v>794</v>
      </c>
      <c r="B794" s="418" t="s">
        <v>207</v>
      </c>
      <c r="C794" s="467" t="s">
        <v>715</v>
      </c>
      <c r="D794" s="467" t="s">
        <v>720</v>
      </c>
      <c r="E794" s="67" t="s">
        <v>714</v>
      </c>
      <c r="F794" s="468" t="s">
        <v>318</v>
      </c>
      <c r="G794" s="67" t="s">
        <v>518</v>
      </c>
      <c r="H794" s="271" t="s">
        <v>630</v>
      </c>
      <c r="I794" s="67" t="s">
        <v>72</v>
      </c>
      <c r="J794" s="67" t="s">
        <v>200</v>
      </c>
      <c r="K794" s="67"/>
      <c r="L794" s="299">
        <f t="shared" si="41"/>
        <v>0</v>
      </c>
      <c r="M794" s="221" t="s">
        <v>629</v>
      </c>
      <c r="N794" s="220">
        <f>IF(OR(M794="nio",M794="eigen dienst"),0,IF(M794&gt;0,M794*K794/O794,0))*VLOOKUP(B794,'2-Kosten per locatie'!$A$14:$C$33,3,FALSE)</f>
        <v>0</v>
      </c>
      <c r="O794" s="300">
        <f>IF(OR(M794="nio",M794="eigen dienst"),0,IF(M794&gt;0,VLOOKUP(H794,'3-Productie normen'!A:J,VLOOKUP(M794,'3-Productie normen'!$B$34:$C$35,2,FALSE),FALSE)))</f>
        <v>0</v>
      </c>
      <c r="P794" s="301">
        <f>VLOOKUP(H794,'3-Productie normen'!A:L,12,FALSE)</f>
        <v>0</v>
      </c>
      <c r="Q794" s="301"/>
      <c r="S794" s="302">
        <f t="shared" si="42"/>
        <v>0</v>
      </c>
    </row>
    <row r="795" spans="1:19" ht="14.15" customHeight="1">
      <c r="A795" s="71">
        <v>795</v>
      </c>
      <c r="B795" s="418" t="s">
        <v>207</v>
      </c>
      <c r="C795" s="467" t="s">
        <v>715</v>
      </c>
      <c r="D795" s="467" t="s">
        <v>720</v>
      </c>
      <c r="E795" s="67" t="s">
        <v>714</v>
      </c>
      <c r="F795" s="468" t="s">
        <v>319</v>
      </c>
      <c r="G795" s="67" t="s">
        <v>523</v>
      </c>
      <c r="H795" s="271" t="s">
        <v>630</v>
      </c>
      <c r="I795" s="67" t="s">
        <v>72</v>
      </c>
      <c r="J795" s="67" t="s">
        <v>200</v>
      </c>
      <c r="K795" s="67"/>
      <c r="L795" s="299">
        <f t="shared" si="41"/>
        <v>0</v>
      </c>
      <c r="M795" s="221" t="s">
        <v>629</v>
      </c>
      <c r="N795" s="220">
        <f>IF(OR(M795="nio",M795="eigen dienst"),0,IF(M795&gt;0,M795*K795/O795,0))*VLOOKUP(B795,'2-Kosten per locatie'!$A$14:$C$33,3,FALSE)</f>
        <v>0</v>
      </c>
      <c r="O795" s="300">
        <f>IF(OR(M795="nio",M795="eigen dienst"),0,IF(M795&gt;0,VLOOKUP(H795,'3-Productie normen'!A:J,VLOOKUP(M795,'3-Productie normen'!$B$34:$C$35,2,FALSE),FALSE)))</f>
        <v>0</v>
      </c>
      <c r="P795" s="301">
        <f>VLOOKUP(H795,'3-Productie normen'!A:L,12,FALSE)</f>
        <v>0</v>
      </c>
      <c r="Q795" s="301"/>
      <c r="S795" s="302">
        <f t="shared" si="42"/>
        <v>0</v>
      </c>
    </row>
    <row r="796" spans="1:19" ht="14.15" customHeight="1">
      <c r="A796" s="71">
        <v>796</v>
      </c>
      <c r="B796" s="418" t="s">
        <v>207</v>
      </c>
      <c r="C796" s="467" t="s">
        <v>715</v>
      </c>
      <c r="D796" s="467" t="s">
        <v>720</v>
      </c>
      <c r="E796" s="67" t="s">
        <v>714</v>
      </c>
      <c r="F796" s="468" t="s">
        <v>320</v>
      </c>
      <c r="G796" s="67" t="s">
        <v>512</v>
      </c>
      <c r="H796" s="67" t="s">
        <v>39</v>
      </c>
      <c r="I796" s="67" t="s">
        <v>70</v>
      </c>
      <c r="J796" s="418" t="s">
        <v>70</v>
      </c>
      <c r="K796" s="67">
        <v>42.1</v>
      </c>
      <c r="L796" s="299">
        <f t="shared" si="41"/>
        <v>200</v>
      </c>
      <c r="M796" s="221">
        <v>200</v>
      </c>
      <c r="N796" s="220" t="e">
        <f>IF(OR(M796="nio",M796="eigen dienst"),0,IF(M796&gt;0,M796*K796/O796,0))*VLOOKUP(B796,'2-Kosten per locatie'!$A$14:$C$33,3,FALSE)</f>
        <v>#DIV/0!</v>
      </c>
      <c r="O796" s="300">
        <f>IF(OR(M796="nio",M796="eigen dienst"),0,IF(M796&gt;0,VLOOKUP(H796,'3-Productie normen'!A:J,VLOOKUP(M796,'3-Productie normen'!$B$34:$C$35,2,FALSE),FALSE)))</f>
        <v>0</v>
      </c>
      <c r="P796" s="301" t="str">
        <f>VLOOKUP(H796,'3-Productie normen'!A:L,12,FALSE)</f>
        <v>V</v>
      </c>
      <c r="Q796" s="301"/>
      <c r="S796" s="302">
        <f t="shared" si="42"/>
        <v>8420</v>
      </c>
    </row>
    <row r="797" spans="1:19" ht="14.15" customHeight="1">
      <c r="A797" s="71">
        <v>797</v>
      </c>
      <c r="B797" s="418" t="s">
        <v>207</v>
      </c>
      <c r="C797" s="467" t="s">
        <v>715</v>
      </c>
      <c r="D797" s="467" t="s">
        <v>720</v>
      </c>
      <c r="E797" s="67" t="s">
        <v>714</v>
      </c>
      <c r="F797" s="468" t="s">
        <v>321</v>
      </c>
      <c r="G797" s="67" t="s">
        <v>693</v>
      </c>
      <c r="H797" s="271" t="s">
        <v>609</v>
      </c>
      <c r="I797" s="67" t="s">
        <v>70</v>
      </c>
      <c r="J797" s="418" t="s">
        <v>70</v>
      </c>
      <c r="K797" s="67">
        <v>51.7</v>
      </c>
      <c r="L797" s="299">
        <f t="shared" si="41"/>
        <v>200</v>
      </c>
      <c r="M797" s="221">
        <v>200</v>
      </c>
      <c r="N797" s="220" t="e">
        <f>IF(OR(M797="nio",M797="eigen dienst"),0,IF(M797&gt;0,M797*K797/O797,0))*VLOOKUP(B797,'2-Kosten per locatie'!$A$14:$C$33,3,FALSE)</f>
        <v>#DIV/0!</v>
      </c>
      <c r="O797" s="300">
        <f>IF(OR(M797="nio",M797="eigen dienst"),0,IF(M797&gt;0,VLOOKUP(H797,'3-Productie normen'!A:J,VLOOKUP(M797,'3-Productie normen'!$B$34:$C$35,2,FALSE),FALSE)))</f>
        <v>0</v>
      </c>
      <c r="P797" s="301" t="str">
        <f>VLOOKUP(H797,'3-Productie normen'!A:L,12,FALSE)</f>
        <v>L</v>
      </c>
      <c r="Q797" s="301"/>
      <c r="S797" s="302">
        <f t="shared" si="42"/>
        <v>10340</v>
      </c>
    </row>
    <row r="798" spans="1:19" ht="14.15" customHeight="1">
      <c r="A798" s="71">
        <v>798</v>
      </c>
      <c r="B798" s="418" t="s">
        <v>207</v>
      </c>
      <c r="C798" s="467" t="s">
        <v>715</v>
      </c>
      <c r="D798" s="467" t="s">
        <v>720</v>
      </c>
      <c r="E798" s="67" t="s">
        <v>714</v>
      </c>
      <c r="F798" s="468" t="s">
        <v>322</v>
      </c>
      <c r="G798" s="67" t="s">
        <v>693</v>
      </c>
      <c r="H798" s="271" t="s">
        <v>609</v>
      </c>
      <c r="I798" s="67" t="s">
        <v>70</v>
      </c>
      <c r="J798" s="418" t="s">
        <v>70</v>
      </c>
      <c r="K798" s="67">
        <v>50.9</v>
      </c>
      <c r="L798" s="299">
        <f t="shared" si="41"/>
        <v>200</v>
      </c>
      <c r="M798" s="221">
        <v>200</v>
      </c>
      <c r="N798" s="220" t="e">
        <f>IF(OR(M798="nio",M798="eigen dienst"),0,IF(M798&gt;0,M798*K798/O798,0))*VLOOKUP(B798,'2-Kosten per locatie'!$A$14:$C$33,3,FALSE)</f>
        <v>#DIV/0!</v>
      </c>
      <c r="O798" s="300">
        <f>IF(OR(M798="nio",M798="eigen dienst"),0,IF(M798&gt;0,VLOOKUP(H798,'3-Productie normen'!A:J,VLOOKUP(M798,'3-Productie normen'!$B$34:$C$35,2,FALSE),FALSE)))</f>
        <v>0</v>
      </c>
      <c r="P798" s="301" t="str">
        <f>VLOOKUP(H798,'3-Productie normen'!A:L,12,FALSE)</f>
        <v>L</v>
      </c>
      <c r="Q798" s="301"/>
      <c r="S798" s="302">
        <f t="shared" si="42"/>
        <v>10180</v>
      </c>
    </row>
    <row r="799" spans="1:19" ht="14.15" customHeight="1">
      <c r="A799" s="71">
        <v>799</v>
      </c>
      <c r="B799" s="418" t="s">
        <v>207</v>
      </c>
      <c r="C799" s="467" t="s">
        <v>715</v>
      </c>
      <c r="D799" s="467" t="s">
        <v>720</v>
      </c>
      <c r="E799" s="67" t="s">
        <v>714</v>
      </c>
      <c r="F799" s="468" t="s">
        <v>323</v>
      </c>
      <c r="G799" s="67" t="s">
        <v>514</v>
      </c>
      <c r="H799" s="67" t="s">
        <v>37</v>
      </c>
      <c r="I799" s="67" t="s">
        <v>601</v>
      </c>
      <c r="J799" s="67" t="s">
        <v>179</v>
      </c>
      <c r="K799" s="67">
        <v>9</v>
      </c>
      <c r="L799" s="299">
        <f t="shared" si="41"/>
        <v>200</v>
      </c>
      <c r="M799" s="221">
        <v>200</v>
      </c>
      <c r="N799" s="220" t="e">
        <f>IF(OR(M799="nio",M799="eigen dienst"),0,IF(M799&gt;0,M799*K799/O799,0))*VLOOKUP(B799,'2-Kosten per locatie'!$A$14:$C$33,3,FALSE)</f>
        <v>#DIV/0!</v>
      </c>
      <c r="O799" s="300">
        <f>IF(OR(M799="nio",M799="eigen dienst"),0,IF(M799&gt;0,VLOOKUP(H799,'3-Productie normen'!A:J,VLOOKUP(M799,'3-Productie normen'!$B$34:$C$35,2,FALSE),FALSE)))</f>
        <v>0</v>
      </c>
      <c r="P799" s="301" t="str">
        <f>VLOOKUP(H799,'3-Productie normen'!A:L,12,FALSE)</f>
        <v>S</v>
      </c>
      <c r="Q799" s="301"/>
      <c r="S799" s="302">
        <f t="shared" si="42"/>
        <v>1800</v>
      </c>
    </row>
    <row r="800" spans="1:19" ht="14.15" customHeight="1">
      <c r="A800" s="71">
        <v>800</v>
      </c>
      <c r="B800" s="418" t="s">
        <v>207</v>
      </c>
      <c r="C800" s="467" t="s">
        <v>715</v>
      </c>
      <c r="D800" s="467" t="s">
        <v>720</v>
      </c>
      <c r="E800" s="67" t="s">
        <v>714</v>
      </c>
      <c r="F800" s="468" t="s">
        <v>324</v>
      </c>
      <c r="G800" s="67" t="s">
        <v>539</v>
      </c>
      <c r="H800" s="67" t="s">
        <v>37</v>
      </c>
      <c r="I800" s="67" t="s">
        <v>601</v>
      </c>
      <c r="J800" s="67" t="s">
        <v>179</v>
      </c>
      <c r="K800" s="67">
        <v>5.7</v>
      </c>
      <c r="L800" s="299">
        <f t="shared" si="41"/>
        <v>200</v>
      </c>
      <c r="M800" s="221">
        <v>200</v>
      </c>
      <c r="N800" s="220" t="e">
        <f>IF(OR(M800="nio",M800="eigen dienst"),0,IF(M800&gt;0,M800*K800/O800,0))*VLOOKUP(B800,'2-Kosten per locatie'!$A$14:$C$33,3,FALSE)</f>
        <v>#DIV/0!</v>
      </c>
      <c r="O800" s="300">
        <f>IF(OR(M800="nio",M800="eigen dienst"),0,IF(M800&gt;0,VLOOKUP(H800,'3-Productie normen'!A:J,VLOOKUP(M800,'3-Productie normen'!$B$34:$C$35,2,FALSE),FALSE)))</f>
        <v>0</v>
      </c>
      <c r="P800" s="301" t="str">
        <f>VLOOKUP(H800,'3-Productie normen'!A:L,12,FALSE)</f>
        <v>S</v>
      </c>
      <c r="Q800" s="301"/>
      <c r="S800" s="302">
        <f t="shared" si="42"/>
        <v>1140</v>
      </c>
    </row>
    <row r="801" spans="1:19" ht="14.15" customHeight="1">
      <c r="A801" s="71">
        <v>801</v>
      </c>
      <c r="B801" s="418" t="s">
        <v>207</v>
      </c>
      <c r="C801" s="467" t="s">
        <v>715</v>
      </c>
      <c r="D801" s="467" t="s">
        <v>720</v>
      </c>
      <c r="E801" s="67" t="s">
        <v>714</v>
      </c>
      <c r="F801" s="468" t="s">
        <v>325</v>
      </c>
      <c r="G801" s="67" t="s">
        <v>694</v>
      </c>
      <c r="H801" s="67" t="s">
        <v>39</v>
      </c>
      <c r="I801" s="67" t="s">
        <v>70</v>
      </c>
      <c r="J801" s="418" t="s">
        <v>70</v>
      </c>
      <c r="K801" s="67">
        <v>14.4</v>
      </c>
      <c r="L801" s="299">
        <f t="shared" si="41"/>
        <v>200</v>
      </c>
      <c r="M801" s="221">
        <v>200</v>
      </c>
      <c r="N801" s="220" t="e">
        <f>IF(OR(M801="nio",M801="eigen dienst"),0,IF(M801&gt;0,M801*K801/O801,0))*VLOOKUP(B801,'2-Kosten per locatie'!$A$14:$C$33,3,FALSE)</f>
        <v>#DIV/0!</v>
      </c>
      <c r="O801" s="300">
        <f>IF(OR(M801="nio",M801="eigen dienst"),0,IF(M801&gt;0,VLOOKUP(H801,'3-Productie normen'!A:J,VLOOKUP(M801,'3-Productie normen'!$B$34:$C$35,2,FALSE),FALSE)))</f>
        <v>0</v>
      </c>
      <c r="P801" s="301" t="str">
        <f>VLOOKUP(H801,'3-Productie normen'!A:L,12,FALSE)</f>
        <v>V</v>
      </c>
      <c r="Q801" s="301"/>
      <c r="S801" s="302">
        <f t="shared" si="42"/>
        <v>2880</v>
      </c>
    </row>
    <row r="802" spans="1:19" ht="14.15" customHeight="1">
      <c r="A802" s="71">
        <v>802</v>
      </c>
      <c r="B802" s="418" t="s">
        <v>207</v>
      </c>
      <c r="C802" s="467" t="s">
        <v>715</v>
      </c>
      <c r="D802" s="467" t="s">
        <v>720</v>
      </c>
      <c r="E802" s="67" t="s">
        <v>714</v>
      </c>
      <c r="F802" s="468" t="s">
        <v>326</v>
      </c>
      <c r="G802" s="67" t="s">
        <v>49</v>
      </c>
      <c r="H802" s="271" t="s">
        <v>630</v>
      </c>
      <c r="I802" s="67" t="s">
        <v>599</v>
      </c>
      <c r="J802" s="67" t="s">
        <v>200</v>
      </c>
      <c r="K802" s="67">
        <v>0</v>
      </c>
      <c r="L802" s="299">
        <f t="shared" si="41"/>
        <v>0</v>
      </c>
      <c r="M802" s="221" t="s">
        <v>629</v>
      </c>
      <c r="N802" s="220">
        <f>IF(OR(M802="nio",M802="eigen dienst"),0,IF(M802&gt;0,M802*K802/O802,0))*VLOOKUP(B802,'2-Kosten per locatie'!$A$14:$C$33,3,FALSE)</f>
        <v>0</v>
      </c>
      <c r="O802" s="300">
        <f>IF(OR(M802="nio",M802="eigen dienst"),0,IF(M802&gt;0,VLOOKUP(H802,'3-Productie normen'!A:J,VLOOKUP(M802,'3-Productie normen'!$B$34:$C$35,2,FALSE),FALSE)))</f>
        <v>0</v>
      </c>
      <c r="P802" s="301">
        <f>VLOOKUP(H802,'3-Productie normen'!A:L,12,FALSE)</f>
        <v>0</v>
      </c>
      <c r="Q802" s="301"/>
      <c r="S802" s="302">
        <f t="shared" si="42"/>
        <v>0</v>
      </c>
    </row>
    <row r="803" spans="1:19" ht="14.15" customHeight="1">
      <c r="A803" s="71">
        <v>803</v>
      </c>
      <c r="B803" s="418" t="s">
        <v>207</v>
      </c>
      <c r="C803" s="467" t="s">
        <v>715</v>
      </c>
      <c r="D803" s="467" t="s">
        <v>720</v>
      </c>
      <c r="E803" s="67" t="s">
        <v>714</v>
      </c>
      <c r="F803" s="468" t="s">
        <v>327</v>
      </c>
      <c r="G803" s="67" t="s">
        <v>693</v>
      </c>
      <c r="H803" s="271" t="s">
        <v>609</v>
      </c>
      <c r="I803" s="67" t="s">
        <v>599</v>
      </c>
      <c r="J803" s="67" t="s">
        <v>200</v>
      </c>
      <c r="K803" s="67">
        <v>52.5</v>
      </c>
      <c r="L803" s="299">
        <f t="shared" si="41"/>
        <v>200</v>
      </c>
      <c r="M803" s="221">
        <v>200</v>
      </c>
      <c r="N803" s="220" t="e">
        <f>IF(OR(M803="nio",M803="eigen dienst"),0,IF(M803&gt;0,M803*K803/O803,0))*VLOOKUP(B803,'2-Kosten per locatie'!$A$14:$C$33,3,FALSE)</f>
        <v>#DIV/0!</v>
      </c>
      <c r="O803" s="300">
        <f>IF(OR(M803="nio",M803="eigen dienst"),0,IF(M803&gt;0,VLOOKUP(H803,'3-Productie normen'!A:J,VLOOKUP(M803,'3-Productie normen'!$B$34:$C$35,2,FALSE),FALSE)))</f>
        <v>0</v>
      </c>
      <c r="P803" s="301" t="str">
        <f>VLOOKUP(H803,'3-Productie normen'!A:L,12,FALSE)</f>
        <v>L</v>
      </c>
      <c r="Q803" s="301"/>
      <c r="S803" s="302">
        <f t="shared" si="42"/>
        <v>10500</v>
      </c>
    </row>
    <row r="804" spans="1:19" ht="14.15" customHeight="1">
      <c r="A804" s="71">
        <v>804</v>
      </c>
      <c r="B804" s="418" t="s">
        <v>209</v>
      </c>
      <c r="C804" s="467" t="s">
        <v>717</v>
      </c>
      <c r="D804" s="467" t="s">
        <v>720</v>
      </c>
      <c r="E804" s="67" t="s">
        <v>713</v>
      </c>
      <c r="F804" s="468" t="s">
        <v>220</v>
      </c>
      <c r="G804" s="67" t="s">
        <v>47</v>
      </c>
      <c r="H804" s="287" t="s">
        <v>47</v>
      </c>
      <c r="I804" s="67" t="s">
        <v>597</v>
      </c>
      <c r="J804" s="67" t="s">
        <v>201</v>
      </c>
      <c r="K804" s="67">
        <v>5.8</v>
      </c>
      <c r="L804" s="299">
        <f t="shared" si="41"/>
        <v>200</v>
      </c>
      <c r="M804" s="221">
        <v>200</v>
      </c>
      <c r="N804" s="220" t="e">
        <f>IF(OR(M804="nio",M804="eigen dienst"),0,IF(M804&gt;0,M804*K804/O804,0))*VLOOKUP(B804,'2-Kosten per locatie'!$A$14:$C$33,3,FALSE)</f>
        <v>#DIV/0!</v>
      </c>
      <c r="O804" s="300">
        <f>IF(OR(M804="nio",M804="eigen dienst"),0,IF(M804&gt;0,VLOOKUP(H804,'3-Productie normen'!A:J,VLOOKUP(M804,'3-Productie normen'!$B$34:$C$35,2,FALSE),FALSE)))</f>
        <v>0</v>
      </c>
      <c r="P804" s="301" t="str">
        <f>VLOOKUP(H804,'3-Productie normen'!A:L,12,FALSE)</f>
        <v>V</v>
      </c>
      <c r="Q804" s="301"/>
      <c r="S804" s="302">
        <f t="shared" si="42"/>
        <v>1160</v>
      </c>
    </row>
    <row r="805" spans="1:19" ht="14.15" customHeight="1">
      <c r="A805" s="71">
        <v>805</v>
      </c>
      <c r="B805" s="418" t="s">
        <v>209</v>
      </c>
      <c r="C805" s="467" t="s">
        <v>717</v>
      </c>
      <c r="D805" s="467" t="s">
        <v>720</v>
      </c>
      <c r="E805" s="67" t="s">
        <v>713</v>
      </c>
      <c r="F805" s="468" t="s">
        <v>221</v>
      </c>
      <c r="G805" s="67" t="s">
        <v>515</v>
      </c>
      <c r="H805" s="287" t="s">
        <v>630</v>
      </c>
      <c r="I805" s="67" t="s">
        <v>70</v>
      </c>
      <c r="J805" s="67" t="s">
        <v>70</v>
      </c>
      <c r="K805" s="67">
        <v>54.1</v>
      </c>
      <c r="L805" s="299">
        <f t="shared" si="41"/>
        <v>0</v>
      </c>
      <c r="M805" s="221" t="s">
        <v>629</v>
      </c>
      <c r="N805" s="220">
        <f>IF(OR(M805="nio",M805="eigen dienst"),0,IF(M805&gt;0,M805*K805/O805,0))*VLOOKUP(B805,'2-Kosten per locatie'!$A$14:$C$33,3,FALSE)</f>
        <v>0</v>
      </c>
      <c r="O805" s="300">
        <f>IF(OR(M805="nio",M805="eigen dienst"),0,IF(M805&gt;0,VLOOKUP(H805,'3-Productie normen'!A:J,VLOOKUP(M805,'3-Productie normen'!$B$34:$C$35,2,FALSE),FALSE)))</f>
        <v>0</v>
      </c>
      <c r="P805" s="301">
        <f>VLOOKUP(H805,'3-Productie normen'!A:L,12,FALSE)</f>
        <v>0</v>
      </c>
      <c r="Q805" s="301"/>
      <c r="S805" s="302">
        <f t="shared" si="42"/>
        <v>0</v>
      </c>
    </row>
    <row r="806" spans="1:19" ht="14.15" customHeight="1">
      <c r="A806" s="71">
        <v>806</v>
      </c>
      <c r="B806" s="418" t="s">
        <v>209</v>
      </c>
      <c r="C806" s="467" t="s">
        <v>717</v>
      </c>
      <c r="D806" s="467" t="s">
        <v>720</v>
      </c>
      <c r="E806" s="67" t="s">
        <v>713</v>
      </c>
      <c r="F806" s="468" t="s">
        <v>222</v>
      </c>
      <c r="G806" s="67" t="s">
        <v>512</v>
      </c>
      <c r="H806" s="67" t="s">
        <v>39</v>
      </c>
      <c r="I806" s="67" t="s">
        <v>70</v>
      </c>
      <c r="J806" s="67" t="s">
        <v>70</v>
      </c>
      <c r="K806" s="67">
        <v>11</v>
      </c>
      <c r="L806" s="299">
        <f t="shared" si="41"/>
        <v>200</v>
      </c>
      <c r="M806" s="221">
        <v>200</v>
      </c>
      <c r="N806" s="220" t="e">
        <f>IF(OR(M806="nio",M806="eigen dienst"),0,IF(M806&gt;0,M806*K806/O806,0))*VLOOKUP(B806,'2-Kosten per locatie'!$A$14:$C$33,3,FALSE)</f>
        <v>#DIV/0!</v>
      </c>
      <c r="O806" s="300">
        <f>IF(OR(M806="nio",M806="eigen dienst"),0,IF(M806&gt;0,VLOOKUP(H806,'3-Productie normen'!A:J,VLOOKUP(M806,'3-Productie normen'!$B$34:$C$35,2,FALSE),FALSE)))</f>
        <v>0</v>
      </c>
      <c r="P806" s="301" t="str">
        <f>VLOOKUP(H806,'3-Productie normen'!A:L,12,FALSE)</f>
        <v>V</v>
      </c>
      <c r="Q806" s="301"/>
      <c r="S806" s="302">
        <f t="shared" si="42"/>
        <v>2200</v>
      </c>
    </row>
    <row r="807" spans="1:19" ht="14.15" customHeight="1">
      <c r="A807" s="71">
        <v>807</v>
      </c>
      <c r="B807" s="418" t="s">
        <v>209</v>
      </c>
      <c r="C807" s="467" t="s">
        <v>717</v>
      </c>
      <c r="D807" s="467" t="s">
        <v>720</v>
      </c>
      <c r="E807" s="67" t="s">
        <v>713</v>
      </c>
      <c r="F807" s="468" t="s">
        <v>695</v>
      </c>
      <c r="G807" s="67" t="s">
        <v>514</v>
      </c>
      <c r="H807" s="67" t="s">
        <v>37</v>
      </c>
      <c r="I807" s="67" t="s">
        <v>601</v>
      </c>
      <c r="J807" s="67" t="s">
        <v>179</v>
      </c>
      <c r="K807" s="67">
        <v>4.9000000000000004</v>
      </c>
      <c r="L807" s="299">
        <f t="shared" si="41"/>
        <v>200</v>
      </c>
      <c r="M807" s="221">
        <v>200</v>
      </c>
      <c r="N807" s="220" t="e">
        <f>IF(OR(M807="nio",M807="eigen dienst"),0,IF(M807&gt;0,M807*K807/O807,0))*VLOOKUP(B807,'2-Kosten per locatie'!$A$14:$C$33,3,FALSE)</f>
        <v>#DIV/0!</v>
      </c>
      <c r="O807" s="300">
        <f>IF(OR(M807="nio",M807="eigen dienst"),0,IF(M807&gt;0,VLOOKUP(H807,'3-Productie normen'!A:J,VLOOKUP(M807,'3-Productie normen'!$B$34:$C$35,2,FALSE),FALSE)))</f>
        <v>0</v>
      </c>
      <c r="P807" s="301" t="str">
        <f>VLOOKUP(H807,'3-Productie normen'!A:L,12,FALSE)</f>
        <v>S</v>
      </c>
      <c r="Q807" s="301"/>
      <c r="S807" s="302">
        <f t="shared" si="42"/>
        <v>980.00000000000011</v>
      </c>
    </row>
    <row r="808" spans="1:19" ht="14.15" customHeight="1">
      <c r="A808" s="71">
        <v>808</v>
      </c>
      <c r="B808" s="418" t="s">
        <v>209</v>
      </c>
      <c r="C808" s="467" t="s">
        <v>717</v>
      </c>
      <c r="D808" s="467" t="s">
        <v>720</v>
      </c>
      <c r="E808" s="67" t="s">
        <v>713</v>
      </c>
      <c r="F808" s="468" t="s">
        <v>696</v>
      </c>
      <c r="G808" s="67" t="s">
        <v>514</v>
      </c>
      <c r="H808" s="67" t="s">
        <v>37</v>
      </c>
      <c r="I808" s="67" t="s">
        <v>601</v>
      </c>
      <c r="J808" s="67" t="s">
        <v>179</v>
      </c>
      <c r="K808" s="67">
        <v>7.4</v>
      </c>
      <c r="L808" s="299">
        <f t="shared" si="41"/>
        <v>200</v>
      </c>
      <c r="M808" s="221">
        <v>200</v>
      </c>
      <c r="N808" s="220" t="e">
        <f>IF(OR(M808="nio",M808="eigen dienst"),0,IF(M808&gt;0,M808*K808/O808,0))*VLOOKUP(B808,'2-Kosten per locatie'!$A$14:$C$33,3,FALSE)</f>
        <v>#DIV/0!</v>
      </c>
      <c r="O808" s="300">
        <f>IF(OR(M808="nio",M808="eigen dienst"),0,IF(M808&gt;0,VLOOKUP(H808,'3-Productie normen'!A:J,VLOOKUP(M808,'3-Productie normen'!$B$34:$C$35,2,FALSE),FALSE)))</f>
        <v>0</v>
      </c>
      <c r="P808" s="301" t="str">
        <f>VLOOKUP(H808,'3-Productie normen'!A:L,12,FALSE)</f>
        <v>S</v>
      </c>
      <c r="Q808" s="301"/>
      <c r="S808" s="302">
        <f t="shared" si="42"/>
        <v>1480</v>
      </c>
    </row>
    <row r="809" spans="1:19" ht="14.15" customHeight="1">
      <c r="A809" s="71">
        <v>809</v>
      </c>
      <c r="B809" s="418" t="s">
        <v>209</v>
      </c>
      <c r="C809" s="467" t="s">
        <v>717</v>
      </c>
      <c r="D809" s="467" t="s">
        <v>720</v>
      </c>
      <c r="E809" s="67" t="s">
        <v>713</v>
      </c>
      <c r="F809" s="468" t="s">
        <v>265</v>
      </c>
      <c r="G809" s="67" t="s">
        <v>515</v>
      </c>
      <c r="H809" s="67" t="s">
        <v>609</v>
      </c>
      <c r="I809" s="67" t="s">
        <v>70</v>
      </c>
      <c r="J809" s="67" t="s">
        <v>70</v>
      </c>
      <c r="K809" s="67">
        <v>56.6</v>
      </c>
      <c r="L809" s="299">
        <f t="shared" si="41"/>
        <v>200</v>
      </c>
      <c r="M809" s="221">
        <v>200</v>
      </c>
      <c r="N809" s="220" t="e">
        <f>IF(OR(M809="nio",M809="eigen dienst"),0,IF(M809&gt;0,M809*K809/O809,0))*VLOOKUP(B809,'2-Kosten per locatie'!$A$14:$C$33,3,FALSE)</f>
        <v>#DIV/0!</v>
      </c>
      <c r="O809" s="300">
        <f>IF(OR(M809="nio",M809="eigen dienst"),0,IF(M809&gt;0,VLOOKUP(H809,'3-Productie normen'!A:J,VLOOKUP(M809,'3-Productie normen'!$B$34:$C$35,2,FALSE),FALSE)))</f>
        <v>0</v>
      </c>
      <c r="P809" s="301" t="str">
        <f>VLOOKUP(H809,'3-Productie normen'!A:L,12,FALSE)</f>
        <v>L</v>
      </c>
      <c r="Q809" s="301"/>
      <c r="S809" s="302">
        <f t="shared" si="42"/>
        <v>11320</v>
      </c>
    </row>
    <row r="810" spans="1:19" ht="14.15" customHeight="1">
      <c r="A810" s="71">
        <v>810</v>
      </c>
      <c r="B810" s="418" t="s">
        <v>209</v>
      </c>
      <c r="C810" s="467" t="s">
        <v>717</v>
      </c>
      <c r="D810" s="467" t="s">
        <v>720</v>
      </c>
      <c r="E810" s="67" t="s">
        <v>713</v>
      </c>
      <c r="F810" s="468" t="s">
        <v>224</v>
      </c>
      <c r="G810" s="67" t="s">
        <v>515</v>
      </c>
      <c r="H810" s="67" t="s">
        <v>609</v>
      </c>
      <c r="I810" s="67" t="s">
        <v>70</v>
      </c>
      <c r="J810" s="67" t="s">
        <v>70</v>
      </c>
      <c r="K810" s="67">
        <v>56.6</v>
      </c>
      <c r="L810" s="299">
        <f t="shared" si="41"/>
        <v>200</v>
      </c>
      <c r="M810" s="221">
        <v>200</v>
      </c>
      <c r="N810" s="220" t="e">
        <f>IF(OR(M810="nio",M810="eigen dienst"),0,IF(M810&gt;0,M810*K810/O810,0))*VLOOKUP(B810,'2-Kosten per locatie'!$A$14:$C$33,3,FALSE)</f>
        <v>#DIV/0!</v>
      </c>
      <c r="O810" s="300">
        <f>IF(OR(M810="nio",M810="eigen dienst"),0,IF(M810&gt;0,VLOOKUP(H810,'3-Productie normen'!A:J,VLOOKUP(M810,'3-Productie normen'!$B$34:$C$35,2,FALSE),FALSE)))</f>
        <v>0</v>
      </c>
      <c r="P810" s="301" t="str">
        <f>VLOOKUP(H810,'3-Productie normen'!A:L,12,FALSE)</f>
        <v>L</v>
      </c>
      <c r="Q810" s="301"/>
      <c r="S810" s="302">
        <f t="shared" si="42"/>
        <v>11320</v>
      </c>
    </row>
    <row r="811" spans="1:19" ht="14.15" customHeight="1">
      <c r="A811" s="71">
        <v>811</v>
      </c>
      <c r="B811" s="418" t="s">
        <v>209</v>
      </c>
      <c r="C811" s="467" t="s">
        <v>717</v>
      </c>
      <c r="D811" s="467" t="s">
        <v>720</v>
      </c>
      <c r="E811" s="67" t="s">
        <v>713</v>
      </c>
      <c r="F811" s="468" t="s">
        <v>225</v>
      </c>
      <c r="G811" s="67" t="s">
        <v>513</v>
      </c>
      <c r="H811" s="67" t="s">
        <v>45</v>
      </c>
      <c r="I811" s="67" t="s">
        <v>599</v>
      </c>
      <c r="J811" s="67" t="s">
        <v>200</v>
      </c>
      <c r="K811" s="67">
        <v>86.1</v>
      </c>
      <c r="L811" s="299">
        <f t="shared" si="41"/>
        <v>200</v>
      </c>
      <c r="M811" s="221">
        <v>200</v>
      </c>
      <c r="N811" s="220" t="e">
        <f>IF(OR(M811="nio",M811="eigen dienst"),0,IF(M811&gt;0,M811*K811/O811,0))*VLOOKUP(B811,'2-Kosten per locatie'!$A$14:$C$33,3,FALSE)</f>
        <v>#DIV/0!</v>
      </c>
      <c r="O811" s="300">
        <f>IF(OR(M811="nio",M811="eigen dienst"),0,IF(M811&gt;0,VLOOKUP(H811,'3-Productie normen'!A:J,VLOOKUP(M811,'3-Productie normen'!$B$34:$C$35,2,FALSE),FALSE)))</f>
        <v>0</v>
      </c>
      <c r="P811" s="301" t="str">
        <f>VLOOKUP(H811,'3-Productie normen'!A:L,12,FALSE)</f>
        <v>L</v>
      </c>
      <c r="Q811" s="301"/>
      <c r="S811" s="302">
        <f t="shared" si="42"/>
        <v>17220</v>
      </c>
    </row>
    <row r="812" spans="1:19" ht="14.15" customHeight="1">
      <c r="A812" s="71">
        <v>812</v>
      </c>
      <c r="B812" s="418" t="s">
        <v>209</v>
      </c>
      <c r="C812" s="467" t="s">
        <v>717</v>
      </c>
      <c r="D812" s="467" t="s">
        <v>720</v>
      </c>
      <c r="E812" s="67" t="s">
        <v>713</v>
      </c>
      <c r="F812" s="468" t="s">
        <v>226</v>
      </c>
      <c r="G812" s="67" t="s">
        <v>515</v>
      </c>
      <c r="H812" s="67" t="s">
        <v>609</v>
      </c>
      <c r="I812" s="67" t="s">
        <v>70</v>
      </c>
      <c r="J812" s="67" t="s">
        <v>70</v>
      </c>
      <c r="K812" s="67">
        <v>54.7</v>
      </c>
      <c r="L812" s="299">
        <f t="shared" si="41"/>
        <v>200</v>
      </c>
      <c r="M812" s="221">
        <v>200</v>
      </c>
      <c r="N812" s="220" t="e">
        <f>IF(OR(M812="nio",M812="eigen dienst"),0,IF(M812&gt;0,M812*K812/O812,0))*VLOOKUP(B812,'2-Kosten per locatie'!$A$14:$C$33,3,FALSE)</f>
        <v>#DIV/0!</v>
      </c>
      <c r="O812" s="300">
        <f>IF(OR(M812="nio",M812="eigen dienst"),0,IF(M812&gt;0,VLOOKUP(H812,'3-Productie normen'!A:J,VLOOKUP(M812,'3-Productie normen'!$B$34:$C$35,2,FALSE),FALSE)))</f>
        <v>0</v>
      </c>
      <c r="P812" s="301" t="str">
        <f>VLOOKUP(H812,'3-Productie normen'!A:L,12,FALSE)</f>
        <v>L</v>
      </c>
      <c r="Q812" s="301"/>
      <c r="S812" s="302">
        <f t="shared" si="42"/>
        <v>10940</v>
      </c>
    </row>
    <row r="813" spans="1:19" ht="14.15" customHeight="1">
      <c r="A813" s="71">
        <v>813</v>
      </c>
      <c r="B813" s="418" t="s">
        <v>209</v>
      </c>
      <c r="C813" s="467" t="s">
        <v>717</v>
      </c>
      <c r="D813" s="467" t="s">
        <v>720</v>
      </c>
      <c r="E813" s="67" t="s">
        <v>713</v>
      </c>
      <c r="F813" s="468" t="s">
        <v>227</v>
      </c>
      <c r="G813" s="67" t="s">
        <v>515</v>
      </c>
      <c r="H813" s="67" t="s">
        <v>609</v>
      </c>
      <c r="I813" s="67" t="s">
        <v>70</v>
      </c>
      <c r="J813" s="67" t="s">
        <v>70</v>
      </c>
      <c r="K813" s="67">
        <v>54.7</v>
      </c>
      <c r="L813" s="299">
        <f t="shared" si="41"/>
        <v>200</v>
      </c>
      <c r="M813" s="221">
        <v>200</v>
      </c>
      <c r="N813" s="220" t="e">
        <f>IF(OR(M813="nio",M813="eigen dienst"),0,IF(M813&gt;0,M813*K813/O813,0))*VLOOKUP(B813,'2-Kosten per locatie'!$A$14:$C$33,3,FALSE)</f>
        <v>#DIV/0!</v>
      </c>
      <c r="O813" s="300">
        <f>IF(OR(M813="nio",M813="eigen dienst"),0,IF(M813&gt;0,VLOOKUP(H813,'3-Productie normen'!A:J,VLOOKUP(M813,'3-Productie normen'!$B$34:$C$35,2,FALSE),FALSE)))</f>
        <v>0</v>
      </c>
      <c r="P813" s="301" t="str">
        <f>VLOOKUP(H813,'3-Productie normen'!A:L,12,FALSE)</f>
        <v>L</v>
      </c>
      <c r="Q813" s="301"/>
      <c r="S813" s="302">
        <f t="shared" si="42"/>
        <v>10940</v>
      </c>
    </row>
    <row r="814" spans="1:19" ht="14.15" customHeight="1">
      <c r="A814" s="71">
        <v>814</v>
      </c>
      <c r="B814" s="418" t="s">
        <v>209</v>
      </c>
      <c r="C814" s="467" t="s">
        <v>717</v>
      </c>
      <c r="D814" s="467" t="s">
        <v>720</v>
      </c>
      <c r="E814" s="67" t="s">
        <v>713</v>
      </c>
      <c r="F814" s="468" t="s">
        <v>228</v>
      </c>
      <c r="G814" s="67" t="s">
        <v>575</v>
      </c>
      <c r="H814" s="67" t="s">
        <v>35</v>
      </c>
      <c r="I814" s="67" t="s">
        <v>70</v>
      </c>
      <c r="J814" s="67" t="s">
        <v>70</v>
      </c>
      <c r="K814" s="67">
        <v>26.400000000000002</v>
      </c>
      <c r="L814" s="299">
        <f t="shared" si="41"/>
        <v>200</v>
      </c>
      <c r="M814" s="221">
        <v>200</v>
      </c>
      <c r="N814" s="220" t="e">
        <f>IF(OR(M814="nio",M814="eigen dienst"),0,IF(M814&gt;0,M814*K814/O814,0))*VLOOKUP(B814,'2-Kosten per locatie'!$A$14:$C$33,3,FALSE)</f>
        <v>#DIV/0!</v>
      </c>
      <c r="O814" s="300">
        <f>IF(OR(M814="nio",M814="eigen dienst"),0,IF(M814&gt;0,VLOOKUP(H814,'3-Productie normen'!A:J,VLOOKUP(M814,'3-Productie normen'!$B$34:$C$35,2,FALSE),FALSE)))</f>
        <v>0</v>
      </c>
      <c r="P814" s="301" t="str">
        <f>VLOOKUP(H814,'3-Productie normen'!A:L,12,FALSE)</f>
        <v>B</v>
      </c>
      <c r="Q814" s="301"/>
      <c r="S814" s="302">
        <f t="shared" si="42"/>
        <v>5280</v>
      </c>
    </row>
    <row r="815" spans="1:19" ht="14.15" customHeight="1">
      <c r="A815" s="71">
        <v>815</v>
      </c>
      <c r="B815" s="418" t="s">
        <v>209</v>
      </c>
      <c r="C815" s="467" t="s">
        <v>717</v>
      </c>
      <c r="D815" s="467" t="s">
        <v>720</v>
      </c>
      <c r="E815" s="67" t="s">
        <v>713</v>
      </c>
      <c r="F815" s="468" t="s">
        <v>229</v>
      </c>
      <c r="G815" s="67" t="s">
        <v>515</v>
      </c>
      <c r="H815" s="67" t="s">
        <v>609</v>
      </c>
      <c r="I815" s="67" t="s">
        <v>70</v>
      </c>
      <c r="J815" s="67" t="s">
        <v>70</v>
      </c>
      <c r="K815" s="67">
        <v>56.6</v>
      </c>
      <c r="L815" s="299">
        <f t="shared" si="41"/>
        <v>200</v>
      </c>
      <c r="M815" s="221">
        <v>200</v>
      </c>
      <c r="N815" s="220" t="e">
        <f>IF(OR(M815="nio",M815="eigen dienst"),0,IF(M815&gt;0,M815*K815/O815,0))*VLOOKUP(B815,'2-Kosten per locatie'!$A$14:$C$33,3,FALSE)</f>
        <v>#DIV/0!</v>
      </c>
      <c r="O815" s="300">
        <f>IF(OR(M815="nio",M815="eigen dienst"),0,IF(M815&gt;0,VLOOKUP(H815,'3-Productie normen'!A:J,VLOOKUP(M815,'3-Productie normen'!$B$34:$C$35,2,FALSE),FALSE)))</f>
        <v>0</v>
      </c>
      <c r="P815" s="301" t="str">
        <f>VLOOKUP(H815,'3-Productie normen'!A:L,12,FALSE)</f>
        <v>L</v>
      </c>
      <c r="Q815" s="301"/>
      <c r="S815" s="302">
        <f t="shared" si="42"/>
        <v>11320</v>
      </c>
    </row>
    <row r="816" spans="1:19" ht="14.15" customHeight="1">
      <c r="A816" s="71">
        <v>816</v>
      </c>
      <c r="B816" s="418" t="s">
        <v>209</v>
      </c>
      <c r="C816" s="467" t="s">
        <v>717</v>
      </c>
      <c r="D816" s="467" t="s">
        <v>720</v>
      </c>
      <c r="E816" s="67" t="s">
        <v>713</v>
      </c>
      <c r="F816" s="468" t="s">
        <v>230</v>
      </c>
      <c r="G816" s="67" t="s">
        <v>47</v>
      </c>
      <c r="H816" s="287" t="s">
        <v>47</v>
      </c>
      <c r="I816" s="67" t="s">
        <v>597</v>
      </c>
      <c r="J816" s="67" t="s">
        <v>201</v>
      </c>
      <c r="K816" s="67">
        <v>7.1</v>
      </c>
      <c r="L816" s="299">
        <f t="shared" si="41"/>
        <v>200</v>
      </c>
      <c r="M816" s="221">
        <v>200</v>
      </c>
      <c r="N816" s="220" t="e">
        <f>IF(OR(M816="nio",M816="eigen dienst"),0,IF(M816&gt;0,M816*K816/O816,0))*VLOOKUP(B816,'2-Kosten per locatie'!$A$14:$C$33,3,FALSE)</f>
        <v>#DIV/0!</v>
      </c>
      <c r="O816" s="300">
        <f>IF(OR(M816="nio",M816="eigen dienst"),0,IF(M816&gt;0,VLOOKUP(H816,'3-Productie normen'!A:J,VLOOKUP(M816,'3-Productie normen'!$B$34:$C$35,2,FALSE),FALSE)))</f>
        <v>0</v>
      </c>
      <c r="P816" s="301" t="str">
        <f>VLOOKUP(H816,'3-Productie normen'!A:L,12,FALSE)</f>
        <v>V</v>
      </c>
      <c r="Q816" s="301"/>
      <c r="S816" s="302">
        <f t="shared" si="42"/>
        <v>1420</v>
      </c>
    </row>
    <row r="817" spans="1:19" ht="14.15" customHeight="1">
      <c r="A817" s="71">
        <v>817</v>
      </c>
      <c r="B817" s="418" t="s">
        <v>209</v>
      </c>
      <c r="C817" s="467" t="s">
        <v>717</v>
      </c>
      <c r="D817" s="467" t="s">
        <v>720</v>
      </c>
      <c r="E817" s="67" t="s">
        <v>713</v>
      </c>
      <c r="F817" s="468" t="s">
        <v>231</v>
      </c>
      <c r="G817" s="67" t="s">
        <v>518</v>
      </c>
      <c r="H817" s="287" t="s">
        <v>630</v>
      </c>
      <c r="I817" s="67" t="s">
        <v>70</v>
      </c>
      <c r="J817" s="67" t="s">
        <v>70</v>
      </c>
      <c r="K817" s="67">
        <v>11.7</v>
      </c>
      <c r="L817" s="299">
        <f t="shared" si="41"/>
        <v>0</v>
      </c>
      <c r="M817" s="221" t="s">
        <v>629</v>
      </c>
      <c r="N817" s="220">
        <f>IF(OR(M817="nio",M817="eigen dienst"),0,IF(M817&gt;0,M817*K817/O817,0))*VLOOKUP(B817,'2-Kosten per locatie'!$A$14:$C$33,3,FALSE)</f>
        <v>0</v>
      </c>
      <c r="O817" s="300">
        <f>IF(OR(M817="nio",M817="eigen dienst"),0,IF(M817&gt;0,VLOOKUP(H817,'3-Productie normen'!A:J,VLOOKUP(M817,'3-Productie normen'!$B$34:$C$35,2,FALSE),FALSE)))</f>
        <v>0</v>
      </c>
      <c r="P817" s="301">
        <f>VLOOKUP(H817,'3-Productie normen'!A:L,12,FALSE)</f>
        <v>0</v>
      </c>
      <c r="Q817" s="301"/>
      <c r="S817" s="302">
        <f t="shared" si="42"/>
        <v>0</v>
      </c>
    </row>
    <row r="818" spans="1:19" ht="14.15" customHeight="1">
      <c r="A818" s="71">
        <v>818</v>
      </c>
      <c r="B818" s="418" t="s">
        <v>209</v>
      </c>
      <c r="C818" s="467" t="s">
        <v>717</v>
      </c>
      <c r="D818" s="467" t="s">
        <v>720</v>
      </c>
      <c r="E818" s="67" t="s">
        <v>713</v>
      </c>
      <c r="F818" s="468" t="s">
        <v>232</v>
      </c>
      <c r="G818" s="67" t="s">
        <v>47</v>
      </c>
      <c r="H818" s="287" t="s">
        <v>47</v>
      </c>
      <c r="I818" s="67" t="s">
        <v>597</v>
      </c>
      <c r="J818" s="67" t="s">
        <v>201</v>
      </c>
      <c r="K818" s="67">
        <v>8.6999999999999993</v>
      </c>
      <c r="L818" s="299">
        <f t="shared" si="41"/>
        <v>200</v>
      </c>
      <c r="M818" s="221">
        <v>200</v>
      </c>
      <c r="N818" s="220" t="e">
        <f>IF(OR(M818="nio",M818="eigen dienst"),0,IF(M818&gt;0,M818*K818/O818,0))*VLOOKUP(B818,'2-Kosten per locatie'!$A$14:$C$33,3,FALSE)</f>
        <v>#DIV/0!</v>
      </c>
      <c r="O818" s="300">
        <f>IF(OR(M818="nio",M818="eigen dienst"),0,IF(M818&gt;0,VLOOKUP(H818,'3-Productie normen'!A:J,VLOOKUP(M818,'3-Productie normen'!$B$34:$C$35,2,FALSE),FALSE)))</f>
        <v>0</v>
      </c>
      <c r="P818" s="301" t="str">
        <f>VLOOKUP(H818,'3-Productie normen'!A:L,12,FALSE)</f>
        <v>V</v>
      </c>
      <c r="Q818" s="301"/>
      <c r="S818" s="302">
        <f t="shared" si="42"/>
        <v>1739.9999999999998</v>
      </c>
    </row>
    <row r="819" spans="1:19" ht="14.15" customHeight="1">
      <c r="A819" s="71">
        <v>819</v>
      </c>
      <c r="B819" s="418" t="s">
        <v>209</v>
      </c>
      <c r="C819" s="467" t="s">
        <v>717</v>
      </c>
      <c r="D819" s="467" t="s">
        <v>720</v>
      </c>
      <c r="E819" s="67" t="s">
        <v>713</v>
      </c>
      <c r="F819" s="468" t="s">
        <v>233</v>
      </c>
      <c r="G819" s="67" t="s">
        <v>515</v>
      </c>
      <c r="H819" s="67" t="s">
        <v>609</v>
      </c>
      <c r="I819" s="67" t="s">
        <v>70</v>
      </c>
      <c r="J819" s="67" t="s">
        <v>70</v>
      </c>
      <c r="K819" s="67">
        <v>56.6</v>
      </c>
      <c r="L819" s="299">
        <f t="shared" si="41"/>
        <v>200</v>
      </c>
      <c r="M819" s="221">
        <v>200</v>
      </c>
      <c r="N819" s="220" t="e">
        <f>IF(OR(M819="nio",M819="eigen dienst"),0,IF(M819&gt;0,M819*K819/O819,0))*VLOOKUP(B819,'2-Kosten per locatie'!$A$14:$C$33,3,FALSE)</f>
        <v>#DIV/0!</v>
      </c>
      <c r="O819" s="300">
        <f>IF(OR(M819="nio",M819="eigen dienst"),0,IF(M819&gt;0,VLOOKUP(H819,'3-Productie normen'!A:J,VLOOKUP(M819,'3-Productie normen'!$B$34:$C$35,2,FALSE),FALSE)))</f>
        <v>0</v>
      </c>
      <c r="P819" s="301" t="str">
        <f>VLOOKUP(H819,'3-Productie normen'!A:L,12,FALSE)</f>
        <v>L</v>
      </c>
      <c r="Q819" s="301"/>
      <c r="S819" s="302">
        <f t="shared" si="42"/>
        <v>11320</v>
      </c>
    </row>
    <row r="820" spans="1:19" ht="14.15" customHeight="1">
      <c r="A820" s="71">
        <v>820</v>
      </c>
      <c r="B820" s="418" t="s">
        <v>209</v>
      </c>
      <c r="C820" s="467" t="s">
        <v>717</v>
      </c>
      <c r="D820" s="467" t="s">
        <v>720</v>
      </c>
      <c r="E820" s="67" t="s">
        <v>713</v>
      </c>
      <c r="F820" s="468" t="s">
        <v>234</v>
      </c>
      <c r="G820" s="67" t="s">
        <v>512</v>
      </c>
      <c r="H820" s="67" t="s">
        <v>39</v>
      </c>
      <c r="I820" s="67" t="s">
        <v>70</v>
      </c>
      <c r="J820" s="67" t="s">
        <v>70</v>
      </c>
      <c r="K820" s="67">
        <v>71.099999999999994</v>
      </c>
      <c r="L820" s="299">
        <f t="shared" si="41"/>
        <v>200</v>
      </c>
      <c r="M820" s="221">
        <v>200</v>
      </c>
      <c r="N820" s="220" t="e">
        <f>IF(OR(M820="nio",M820="eigen dienst"),0,IF(M820&gt;0,M820*K820/O820,0))*VLOOKUP(B820,'2-Kosten per locatie'!$A$14:$C$33,3,FALSE)</f>
        <v>#DIV/0!</v>
      </c>
      <c r="O820" s="300">
        <f>IF(OR(M820="nio",M820="eigen dienst"),0,IF(M820&gt;0,VLOOKUP(H820,'3-Productie normen'!A:J,VLOOKUP(M820,'3-Productie normen'!$B$34:$C$35,2,FALSE),FALSE)))</f>
        <v>0</v>
      </c>
      <c r="P820" s="301" t="str">
        <f>VLOOKUP(H820,'3-Productie normen'!A:L,12,FALSE)</f>
        <v>V</v>
      </c>
      <c r="Q820" s="301"/>
      <c r="S820" s="302">
        <f t="shared" si="42"/>
        <v>14219.999999999998</v>
      </c>
    </row>
    <row r="821" spans="1:19" ht="14.15" customHeight="1">
      <c r="A821" s="71">
        <v>821</v>
      </c>
      <c r="B821" s="418" t="s">
        <v>209</v>
      </c>
      <c r="C821" s="467" t="s">
        <v>717</v>
      </c>
      <c r="D821" s="467" t="s">
        <v>720</v>
      </c>
      <c r="E821" s="67" t="s">
        <v>713</v>
      </c>
      <c r="F821" s="468" t="s">
        <v>697</v>
      </c>
      <c r="G821" s="67" t="s">
        <v>514</v>
      </c>
      <c r="H821" s="67" t="s">
        <v>37</v>
      </c>
      <c r="I821" s="67" t="s">
        <v>598</v>
      </c>
      <c r="J821" s="67" t="s">
        <v>179</v>
      </c>
      <c r="K821" s="67">
        <v>4</v>
      </c>
      <c r="L821" s="299">
        <f t="shared" si="41"/>
        <v>200</v>
      </c>
      <c r="M821" s="221">
        <v>200</v>
      </c>
      <c r="N821" s="220" t="e">
        <f>IF(OR(M821="nio",M821="eigen dienst"),0,IF(M821&gt;0,M821*K821/O821,0))*VLOOKUP(B821,'2-Kosten per locatie'!$A$14:$C$33,3,FALSE)</f>
        <v>#DIV/0!</v>
      </c>
      <c r="O821" s="300">
        <f>IF(OR(M821="nio",M821="eigen dienst"),0,IF(M821&gt;0,VLOOKUP(H821,'3-Productie normen'!A:J,VLOOKUP(M821,'3-Productie normen'!$B$34:$C$35,2,FALSE),FALSE)))</f>
        <v>0</v>
      </c>
      <c r="P821" s="301" t="str">
        <f>VLOOKUP(H821,'3-Productie normen'!A:L,12,FALSE)</f>
        <v>S</v>
      </c>
      <c r="Q821" s="301"/>
      <c r="S821" s="302">
        <f t="shared" si="42"/>
        <v>800</v>
      </c>
    </row>
    <row r="822" spans="1:19" ht="14.15" customHeight="1">
      <c r="A822" s="71">
        <v>822</v>
      </c>
      <c r="B822" s="418" t="s">
        <v>209</v>
      </c>
      <c r="C822" s="467" t="s">
        <v>717</v>
      </c>
      <c r="D822" s="467" t="s">
        <v>720</v>
      </c>
      <c r="E822" s="67" t="s">
        <v>713</v>
      </c>
      <c r="F822" s="468" t="s">
        <v>698</v>
      </c>
      <c r="G822" s="67" t="s">
        <v>514</v>
      </c>
      <c r="H822" s="67" t="s">
        <v>37</v>
      </c>
      <c r="I822" s="67" t="s">
        <v>598</v>
      </c>
      <c r="J822" s="67" t="s">
        <v>179</v>
      </c>
      <c r="K822" s="67">
        <v>4</v>
      </c>
      <c r="L822" s="299">
        <f t="shared" si="41"/>
        <v>200</v>
      </c>
      <c r="M822" s="221">
        <v>200</v>
      </c>
      <c r="N822" s="220" t="e">
        <f>IF(OR(M822="nio",M822="eigen dienst"),0,IF(M822&gt;0,M822*K822/O822,0))*VLOOKUP(B822,'2-Kosten per locatie'!$A$14:$C$33,3,FALSE)</f>
        <v>#DIV/0!</v>
      </c>
      <c r="O822" s="300">
        <f>IF(OR(M822="nio",M822="eigen dienst"),0,IF(M822&gt;0,VLOOKUP(H822,'3-Productie normen'!A:J,VLOOKUP(M822,'3-Productie normen'!$B$34:$C$35,2,FALSE),FALSE)))</f>
        <v>0</v>
      </c>
      <c r="P822" s="301" t="str">
        <f>VLOOKUP(H822,'3-Productie normen'!A:L,12,FALSE)</f>
        <v>S</v>
      </c>
      <c r="Q822" s="301"/>
      <c r="S822" s="302">
        <f t="shared" si="42"/>
        <v>800</v>
      </c>
    </row>
    <row r="823" spans="1:19" ht="14.15" customHeight="1">
      <c r="A823" s="71">
        <v>823</v>
      </c>
      <c r="B823" s="418" t="s">
        <v>209</v>
      </c>
      <c r="C823" s="467" t="s">
        <v>717</v>
      </c>
      <c r="D823" s="467" t="s">
        <v>720</v>
      </c>
      <c r="E823" s="67" t="s">
        <v>713</v>
      </c>
      <c r="F823" s="468" t="s">
        <v>236</v>
      </c>
      <c r="G823" s="67" t="s">
        <v>516</v>
      </c>
      <c r="H823" s="67" t="s">
        <v>35</v>
      </c>
      <c r="I823" s="67" t="s">
        <v>70</v>
      </c>
      <c r="J823" s="67" t="s">
        <v>70</v>
      </c>
      <c r="K823" s="67">
        <v>10.1</v>
      </c>
      <c r="L823" s="299">
        <f t="shared" si="41"/>
        <v>200</v>
      </c>
      <c r="M823" s="221">
        <v>200</v>
      </c>
      <c r="N823" s="220" t="e">
        <f>IF(OR(M823="nio",M823="eigen dienst"),0,IF(M823&gt;0,M823*K823/O823,0))*VLOOKUP(B823,'2-Kosten per locatie'!$A$14:$C$33,3,FALSE)</f>
        <v>#DIV/0!</v>
      </c>
      <c r="O823" s="300">
        <f>IF(OR(M823="nio",M823="eigen dienst"),0,IF(M823&gt;0,VLOOKUP(H823,'3-Productie normen'!A:J,VLOOKUP(M823,'3-Productie normen'!$B$34:$C$35,2,FALSE),FALSE)))</f>
        <v>0</v>
      </c>
      <c r="P823" s="301" t="str">
        <f>VLOOKUP(H823,'3-Productie normen'!A:L,12,FALSE)</f>
        <v>B</v>
      </c>
      <c r="Q823" s="301"/>
      <c r="S823" s="302">
        <f t="shared" si="42"/>
        <v>2020</v>
      </c>
    </row>
    <row r="824" spans="1:19" ht="14.15" customHeight="1">
      <c r="A824" s="71">
        <v>824</v>
      </c>
      <c r="B824" s="418" t="s">
        <v>209</v>
      </c>
      <c r="C824" s="467" t="s">
        <v>717</v>
      </c>
      <c r="D824" s="467" t="s">
        <v>720</v>
      </c>
      <c r="E824" s="67" t="s">
        <v>713</v>
      </c>
      <c r="F824" s="468" t="s">
        <v>699</v>
      </c>
      <c r="G824" s="67" t="s">
        <v>521</v>
      </c>
      <c r="H824" s="271" t="s">
        <v>43</v>
      </c>
      <c r="I824" s="67" t="s">
        <v>70</v>
      </c>
      <c r="J824" s="67" t="s">
        <v>70</v>
      </c>
      <c r="K824" s="67">
        <v>28.7</v>
      </c>
      <c r="L824" s="299">
        <f t="shared" si="41"/>
        <v>200</v>
      </c>
      <c r="M824" s="221">
        <v>200</v>
      </c>
      <c r="N824" s="220" t="e">
        <f>IF(OR(M824="nio",M824="eigen dienst"),0,IF(M824&gt;0,M824*K824/O824,0))*VLOOKUP(B824,'2-Kosten per locatie'!$A$14:$C$33,3,FALSE)</f>
        <v>#DIV/0!</v>
      </c>
      <c r="O824" s="300">
        <f>IF(OR(M824="nio",M824="eigen dienst"),0,IF(M824&gt;0,VLOOKUP(H824,'3-Productie normen'!A:J,VLOOKUP(M824,'3-Productie normen'!$B$34:$C$35,2,FALSE),FALSE)))</f>
        <v>0</v>
      </c>
      <c r="P824" s="301" t="str">
        <f>VLOOKUP(H824,'3-Productie normen'!A:L,12,FALSE)</f>
        <v>B</v>
      </c>
      <c r="Q824" s="301"/>
      <c r="S824" s="302">
        <f t="shared" si="42"/>
        <v>5740</v>
      </c>
    </row>
    <row r="825" spans="1:19" ht="14.15" customHeight="1">
      <c r="A825" s="71">
        <v>825</v>
      </c>
      <c r="B825" s="418" t="s">
        <v>209</v>
      </c>
      <c r="C825" s="467" t="s">
        <v>717</v>
      </c>
      <c r="D825" s="467" t="s">
        <v>720</v>
      </c>
      <c r="E825" s="67" t="s">
        <v>713</v>
      </c>
      <c r="F825" s="468" t="s">
        <v>238</v>
      </c>
      <c r="G825" s="67" t="s">
        <v>512</v>
      </c>
      <c r="H825" s="67" t="s">
        <v>39</v>
      </c>
      <c r="I825" s="67" t="s">
        <v>70</v>
      </c>
      <c r="J825" s="67" t="s">
        <v>70</v>
      </c>
      <c r="K825" s="67">
        <v>60.1</v>
      </c>
      <c r="L825" s="299">
        <f t="shared" si="41"/>
        <v>200</v>
      </c>
      <c r="M825" s="221">
        <v>200</v>
      </c>
      <c r="N825" s="220" t="e">
        <f>IF(OR(M825="nio",M825="eigen dienst"),0,IF(M825&gt;0,M825*K825/O825,0))*VLOOKUP(B825,'2-Kosten per locatie'!$A$14:$C$33,3,FALSE)</f>
        <v>#DIV/0!</v>
      </c>
      <c r="O825" s="300">
        <f>IF(OR(M825="nio",M825="eigen dienst"),0,IF(M825&gt;0,VLOOKUP(H825,'3-Productie normen'!A:J,VLOOKUP(M825,'3-Productie normen'!$B$34:$C$35,2,FALSE),FALSE)))</f>
        <v>0</v>
      </c>
      <c r="P825" s="301" t="str">
        <f>VLOOKUP(H825,'3-Productie normen'!A:L,12,FALSE)</f>
        <v>V</v>
      </c>
      <c r="Q825" s="301"/>
      <c r="S825" s="302">
        <f t="shared" si="42"/>
        <v>12020</v>
      </c>
    </row>
    <row r="826" spans="1:19" ht="14.15" customHeight="1">
      <c r="A826" s="71">
        <v>826</v>
      </c>
      <c r="B826" s="418" t="s">
        <v>209</v>
      </c>
      <c r="C826" s="467" t="s">
        <v>717</v>
      </c>
      <c r="D826" s="467" t="s">
        <v>720</v>
      </c>
      <c r="E826" s="67" t="s">
        <v>713</v>
      </c>
      <c r="F826" s="468" t="s">
        <v>239</v>
      </c>
      <c r="G826" s="67" t="s">
        <v>519</v>
      </c>
      <c r="H826" s="287" t="s">
        <v>41</v>
      </c>
      <c r="I826" s="67" t="s">
        <v>70</v>
      </c>
      <c r="J826" s="67" t="s">
        <v>70</v>
      </c>
      <c r="K826" s="67">
        <v>6.1999999999999993</v>
      </c>
      <c r="L826" s="299">
        <f t="shared" si="41"/>
        <v>200</v>
      </c>
      <c r="M826" s="221">
        <v>200</v>
      </c>
      <c r="N826" s="220" t="e">
        <f>IF(OR(M826="nio",M826="eigen dienst"),0,IF(M826&gt;0,M826*K826/O826,0))*VLOOKUP(B826,'2-Kosten per locatie'!$A$14:$C$33,3,FALSE)</f>
        <v>#DIV/0!</v>
      </c>
      <c r="O826" s="300">
        <f>IF(OR(M826="nio",M826="eigen dienst"),0,IF(M826&gt;0,VLOOKUP(H826,'3-Productie normen'!A:J,VLOOKUP(M826,'3-Productie normen'!$B$34:$C$35,2,FALSE),FALSE)))</f>
        <v>0</v>
      </c>
      <c r="P826" s="301" t="str">
        <f>VLOOKUP(H826,'3-Productie normen'!A:L,12,FALSE)</f>
        <v>V</v>
      </c>
      <c r="Q826" s="301"/>
      <c r="S826" s="302">
        <f t="shared" si="42"/>
        <v>1239.9999999999998</v>
      </c>
    </row>
    <row r="827" spans="1:19" ht="14.15" customHeight="1">
      <c r="A827" s="71">
        <v>827</v>
      </c>
      <c r="B827" s="418" t="s">
        <v>209</v>
      </c>
      <c r="C827" s="467" t="s">
        <v>717</v>
      </c>
      <c r="D827" s="467" t="s">
        <v>720</v>
      </c>
      <c r="E827" s="67" t="s">
        <v>713</v>
      </c>
      <c r="F827" s="468" t="s">
        <v>241</v>
      </c>
      <c r="G827" s="67" t="s">
        <v>518</v>
      </c>
      <c r="H827" s="287" t="s">
        <v>630</v>
      </c>
      <c r="I827" s="67" t="s">
        <v>70</v>
      </c>
      <c r="J827" s="67" t="s">
        <v>70</v>
      </c>
      <c r="K827" s="67">
        <v>4.18</v>
      </c>
      <c r="L827" s="299">
        <f t="shared" si="41"/>
        <v>0</v>
      </c>
      <c r="M827" s="221" t="s">
        <v>629</v>
      </c>
      <c r="N827" s="220">
        <f>IF(OR(M827="nio",M827="eigen dienst"),0,IF(M827&gt;0,M827*K827/O827,0))*VLOOKUP(B827,'2-Kosten per locatie'!$A$14:$C$33,3,FALSE)</f>
        <v>0</v>
      </c>
      <c r="O827" s="300">
        <f>IF(OR(M827="nio",M827="eigen dienst"),0,IF(M827&gt;0,VLOOKUP(H827,'3-Productie normen'!A:J,VLOOKUP(M827,'3-Productie normen'!$B$34:$C$35,2,FALSE),FALSE)))</f>
        <v>0</v>
      </c>
      <c r="P827" s="301">
        <f>VLOOKUP(H827,'3-Productie normen'!A:L,12,FALSE)</f>
        <v>0</v>
      </c>
      <c r="Q827" s="301"/>
      <c r="S827" s="302">
        <f t="shared" si="42"/>
        <v>0</v>
      </c>
    </row>
    <row r="828" spans="1:19" ht="14.15" customHeight="1">
      <c r="A828" s="71">
        <v>828</v>
      </c>
      <c r="B828" s="418" t="s">
        <v>209</v>
      </c>
      <c r="C828" s="467" t="s">
        <v>717</v>
      </c>
      <c r="D828" s="467" t="s">
        <v>720</v>
      </c>
      <c r="E828" s="67" t="s">
        <v>713</v>
      </c>
      <c r="F828" s="468" t="s">
        <v>258</v>
      </c>
      <c r="G828" s="67" t="s">
        <v>512</v>
      </c>
      <c r="H828" s="67" t="s">
        <v>39</v>
      </c>
      <c r="I828" s="67" t="s">
        <v>70</v>
      </c>
      <c r="J828" s="67" t="s">
        <v>70</v>
      </c>
      <c r="K828" s="67">
        <v>65.3</v>
      </c>
      <c r="L828" s="299">
        <f t="shared" si="41"/>
        <v>200</v>
      </c>
      <c r="M828" s="221">
        <v>200</v>
      </c>
      <c r="N828" s="220" t="e">
        <f>IF(OR(M828="nio",M828="eigen dienst"),0,IF(M828&gt;0,M828*K828/O828,0))*VLOOKUP(B828,'2-Kosten per locatie'!$A$14:$C$33,3,FALSE)</f>
        <v>#DIV/0!</v>
      </c>
      <c r="O828" s="300">
        <f>IF(OR(M828="nio",M828="eigen dienst"),0,IF(M828&gt;0,VLOOKUP(H828,'3-Productie normen'!A:J,VLOOKUP(M828,'3-Productie normen'!$B$34:$C$35,2,FALSE),FALSE)))</f>
        <v>0</v>
      </c>
      <c r="P828" s="301" t="str">
        <f>VLOOKUP(H828,'3-Productie normen'!A:L,12,FALSE)</f>
        <v>V</v>
      </c>
      <c r="Q828" s="301"/>
      <c r="S828" s="302">
        <f t="shared" si="42"/>
        <v>13060</v>
      </c>
    </row>
    <row r="829" spans="1:19" ht="14.15" customHeight="1">
      <c r="A829" s="71">
        <v>829</v>
      </c>
      <c r="B829" s="418" t="s">
        <v>209</v>
      </c>
      <c r="C829" s="467" t="s">
        <v>717</v>
      </c>
      <c r="D829" s="467" t="s">
        <v>720</v>
      </c>
      <c r="E829" s="67" t="s">
        <v>713</v>
      </c>
      <c r="F829" s="468" t="s">
        <v>259</v>
      </c>
      <c r="G829" s="67" t="s">
        <v>524</v>
      </c>
      <c r="H829" s="287" t="s">
        <v>609</v>
      </c>
      <c r="I829" s="67" t="s">
        <v>70</v>
      </c>
      <c r="J829" s="67" t="s">
        <v>70</v>
      </c>
      <c r="K829" s="67">
        <v>110.1</v>
      </c>
      <c r="L829" s="299">
        <f t="shared" si="41"/>
        <v>200</v>
      </c>
      <c r="M829" s="221">
        <v>200</v>
      </c>
      <c r="N829" s="220" t="e">
        <f>IF(OR(M829="nio",M829="eigen dienst"),0,IF(M829&gt;0,M829*K829/O829,0))*VLOOKUP(B829,'2-Kosten per locatie'!$A$14:$C$33,3,FALSE)</f>
        <v>#DIV/0!</v>
      </c>
      <c r="O829" s="300">
        <f>IF(OR(M829="nio",M829="eigen dienst"),0,IF(M829&gt;0,VLOOKUP(H829,'3-Productie normen'!A:J,VLOOKUP(M829,'3-Productie normen'!$B$34:$C$35,2,FALSE),FALSE)))</f>
        <v>0</v>
      </c>
      <c r="P829" s="301" t="str">
        <f>VLOOKUP(H829,'3-Productie normen'!A:L,12,FALSE)</f>
        <v>L</v>
      </c>
      <c r="Q829" s="301"/>
      <c r="S829" s="302">
        <f t="shared" si="42"/>
        <v>22020</v>
      </c>
    </row>
    <row r="830" spans="1:19" ht="14.15" customHeight="1">
      <c r="A830" s="71">
        <v>830</v>
      </c>
      <c r="B830" s="418" t="s">
        <v>209</v>
      </c>
      <c r="C830" s="467" t="s">
        <v>717</v>
      </c>
      <c r="D830" s="467" t="s">
        <v>720</v>
      </c>
      <c r="E830" s="67" t="s">
        <v>713</v>
      </c>
      <c r="F830" s="468" t="s">
        <v>260</v>
      </c>
      <c r="G830" s="67" t="s">
        <v>537</v>
      </c>
      <c r="H830" s="67" t="s">
        <v>37</v>
      </c>
      <c r="I830" s="67" t="s">
        <v>601</v>
      </c>
      <c r="J830" s="67" t="s">
        <v>179</v>
      </c>
      <c r="K830" s="67">
        <v>2.4</v>
      </c>
      <c r="L830" s="299">
        <f t="shared" si="41"/>
        <v>200</v>
      </c>
      <c r="M830" s="221">
        <v>200</v>
      </c>
      <c r="N830" s="220" t="e">
        <f>IF(OR(M830="nio",M830="eigen dienst"),0,IF(M830&gt;0,M830*K830/O830,0))*VLOOKUP(B830,'2-Kosten per locatie'!$A$14:$C$33,3,FALSE)</f>
        <v>#DIV/0!</v>
      </c>
      <c r="O830" s="300">
        <f>IF(OR(M830="nio",M830="eigen dienst"),0,IF(M830&gt;0,VLOOKUP(H830,'3-Productie normen'!A:J,VLOOKUP(M830,'3-Productie normen'!$B$34:$C$35,2,FALSE),FALSE)))</f>
        <v>0</v>
      </c>
      <c r="P830" s="301" t="str">
        <f>VLOOKUP(H830,'3-Productie normen'!A:L,12,FALSE)</f>
        <v>S</v>
      </c>
      <c r="Q830" s="301"/>
      <c r="S830" s="302">
        <f t="shared" si="42"/>
        <v>480</v>
      </c>
    </row>
    <row r="831" spans="1:19" ht="14.15" customHeight="1">
      <c r="A831" s="71">
        <v>831</v>
      </c>
      <c r="B831" s="418" t="s">
        <v>209</v>
      </c>
      <c r="C831" s="467" t="s">
        <v>717</v>
      </c>
      <c r="D831" s="467" t="s">
        <v>720</v>
      </c>
      <c r="E831" s="67" t="s">
        <v>713</v>
      </c>
      <c r="F831" s="468" t="s">
        <v>261</v>
      </c>
      <c r="G831" s="67" t="s">
        <v>514</v>
      </c>
      <c r="H831" s="67" t="s">
        <v>37</v>
      </c>
      <c r="I831" s="67" t="s">
        <v>601</v>
      </c>
      <c r="J831" s="67" t="s">
        <v>179</v>
      </c>
      <c r="K831" s="67">
        <v>7.8</v>
      </c>
      <c r="L831" s="299">
        <f t="shared" si="41"/>
        <v>200</v>
      </c>
      <c r="M831" s="221">
        <v>200</v>
      </c>
      <c r="N831" s="220" t="e">
        <f>IF(OR(M831="nio",M831="eigen dienst"),0,IF(M831&gt;0,M831*K831/O831,0))*VLOOKUP(B831,'2-Kosten per locatie'!$A$14:$C$33,3,FALSE)</f>
        <v>#DIV/0!</v>
      </c>
      <c r="O831" s="300">
        <f>IF(OR(M831="nio",M831="eigen dienst"),0,IF(M831&gt;0,VLOOKUP(H831,'3-Productie normen'!A:J,VLOOKUP(M831,'3-Productie normen'!$B$34:$C$35,2,FALSE),FALSE)))</f>
        <v>0</v>
      </c>
      <c r="P831" s="301" t="str">
        <f>VLOOKUP(H831,'3-Productie normen'!A:L,12,FALSE)</f>
        <v>S</v>
      </c>
      <c r="Q831" s="301"/>
      <c r="S831" s="302">
        <f t="shared" si="42"/>
        <v>1560</v>
      </c>
    </row>
    <row r="832" spans="1:19" ht="14.15" customHeight="1">
      <c r="A832" s="71">
        <v>832</v>
      </c>
      <c r="B832" s="418" t="s">
        <v>209</v>
      </c>
      <c r="C832" s="467" t="s">
        <v>717</v>
      </c>
      <c r="D832" s="467" t="s">
        <v>720</v>
      </c>
      <c r="E832" s="67" t="s">
        <v>713</v>
      </c>
      <c r="F832" s="468" t="s">
        <v>262</v>
      </c>
      <c r="G832" s="67" t="s">
        <v>518</v>
      </c>
      <c r="H832" s="287" t="s">
        <v>630</v>
      </c>
      <c r="I832" s="67" t="s">
        <v>70</v>
      </c>
      <c r="J832" s="67" t="s">
        <v>70</v>
      </c>
      <c r="K832" s="67">
        <v>8.5299999999999994</v>
      </c>
      <c r="L832" s="299">
        <f t="shared" si="41"/>
        <v>0</v>
      </c>
      <c r="M832" s="221" t="s">
        <v>629</v>
      </c>
      <c r="N832" s="220">
        <f>IF(OR(M832="nio",M832="eigen dienst"),0,IF(M832&gt;0,M832*K832/O832,0))*VLOOKUP(B832,'2-Kosten per locatie'!$A$14:$C$33,3,FALSE)</f>
        <v>0</v>
      </c>
      <c r="O832" s="300">
        <f>IF(OR(M832="nio",M832="eigen dienst"),0,IF(M832&gt;0,VLOOKUP(H832,'3-Productie normen'!A:J,VLOOKUP(M832,'3-Productie normen'!$B$34:$C$35,2,FALSE),FALSE)))</f>
        <v>0</v>
      </c>
      <c r="P832" s="301">
        <f>VLOOKUP(H832,'3-Productie normen'!A:L,12,FALSE)</f>
        <v>0</v>
      </c>
      <c r="Q832" s="301"/>
      <c r="S832" s="302">
        <f t="shared" si="42"/>
        <v>0</v>
      </c>
    </row>
    <row r="833" spans="1:19" ht="14.15" customHeight="1">
      <c r="A833" s="71">
        <v>833</v>
      </c>
      <c r="B833" s="418" t="s">
        <v>209</v>
      </c>
      <c r="C833" s="467" t="s">
        <v>717</v>
      </c>
      <c r="D833" s="467" t="s">
        <v>720</v>
      </c>
      <c r="E833" s="67" t="s">
        <v>713</v>
      </c>
      <c r="F833" s="468" t="s">
        <v>263</v>
      </c>
      <c r="G833" s="67" t="s">
        <v>518</v>
      </c>
      <c r="H833" s="287" t="s">
        <v>630</v>
      </c>
      <c r="I833" s="67" t="s">
        <v>70</v>
      </c>
      <c r="J833" s="67" t="s">
        <v>70</v>
      </c>
      <c r="K833" s="67">
        <v>4.4000000000000004</v>
      </c>
      <c r="L833" s="299">
        <f t="shared" si="41"/>
        <v>0</v>
      </c>
      <c r="M833" s="221" t="s">
        <v>629</v>
      </c>
      <c r="N833" s="220">
        <f>IF(OR(M833="nio",M833="eigen dienst"),0,IF(M833&gt;0,M833*K833/O833,0))*VLOOKUP(B833,'2-Kosten per locatie'!$A$14:$C$33,3,FALSE)</f>
        <v>0</v>
      </c>
      <c r="O833" s="300">
        <f>IF(OR(M833="nio",M833="eigen dienst"),0,IF(M833&gt;0,VLOOKUP(H833,'3-Productie normen'!A:J,VLOOKUP(M833,'3-Productie normen'!$B$34:$C$35,2,FALSE),FALSE)))</f>
        <v>0</v>
      </c>
      <c r="P833" s="301">
        <f>VLOOKUP(H833,'3-Productie normen'!A:L,12,FALSE)</f>
        <v>0</v>
      </c>
      <c r="Q833" s="301"/>
      <c r="S833" s="302">
        <f t="shared" si="42"/>
        <v>0</v>
      </c>
    </row>
    <row r="834" spans="1:19" ht="14.15" customHeight="1">
      <c r="A834" s="71">
        <v>834</v>
      </c>
      <c r="B834" s="418" t="s">
        <v>209</v>
      </c>
      <c r="C834" s="467" t="s">
        <v>717</v>
      </c>
      <c r="D834" s="467" t="s">
        <v>720</v>
      </c>
      <c r="E834" s="67" t="s">
        <v>713</v>
      </c>
      <c r="F834" s="468" t="s">
        <v>264</v>
      </c>
      <c r="G834" s="67" t="s">
        <v>512</v>
      </c>
      <c r="H834" s="67" t="s">
        <v>39</v>
      </c>
      <c r="I834" s="67" t="s">
        <v>70</v>
      </c>
      <c r="J834" s="67" t="s">
        <v>70</v>
      </c>
      <c r="K834" s="67">
        <v>12.9</v>
      </c>
      <c r="L834" s="299">
        <f t="shared" si="41"/>
        <v>200</v>
      </c>
      <c r="M834" s="221">
        <v>200</v>
      </c>
      <c r="N834" s="220" t="e">
        <f>IF(OR(M834="nio",M834="eigen dienst"),0,IF(M834&gt;0,M834*K834/O834,0))*VLOOKUP(B834,'2-Kosten per locatie'!$A$14:$C$33,3,FALSE)</f>
        <v>#DIV/0!</v>
      </c>
      <c r="O834" s="300">
        <f>IF(OR(M834="nio",M834="eigen dienst"),0,IF(M834&gt;0,VLOOKUP(H834,'3-Productie normen'!A:J,VLOOKUP(M834,'3-Productie normen'!$B$34:$C$35,2,FALSE),FALSE)))</f>
        <v>0</v>
      </c>
      <c r="P834" s="301" t="str">
        <f>VLOOKUP(H834,'3-Productie normen'!A:L,12,FALSE)</f>
        <v>V</v>
      </c>
      <c r="Q834" s="301"/>
      <c r="S834" s="302">
        <f t="shared" si="42"/>
        <v>2580</v>
      </c>
    </row>
    <row r="835" spans="1:19" ht="14.15" customHeight="1">
      <c r="A835" s="71">
        <v>835</v>
      </c>
      <c r="B835" s="418" t="s">
        <v>209</v>
      </c>
      <c r="C835" s="467" t="s">
        <v>717</v>
      </c>
      <c r="D835" s="467" t="s">
        <v>720</v>
      </c>
      <c r="E835" s="67" t="s">
        <v>713</v>
      </c>
      <c r="F835" s="468" t="s">
        <v>292</v>
      </c>
      <c r="G835" s="67" t="s">
        <v>702</v>
      </c>
      <c r="H835" s="67" t="s">
        <v>37</v>
      </c>
      <c r="I835" s="67" t="s">
        <v>601</v>
      </c>
      <c r="J835" s="67" t="s">
        <v>179</v>
      </c>
      <c r="K835" s="67">
        <v>8</v>
      </c>
      <c r="L835" s="299">
        <f t="shared" si="41"/>
        <v>200</v>
      </c>
      <c r="M835" s="221">
        <v>200</v>
      </c>
      <c r="N835" s="220" t="e">
        <f>IF(OR(M835="nio",M835="eigen dienst"),0,IF(M835&gt;0,M835*K835/O835,0))*VLOOKUP(B835,'2-Kosten per locatie'!$A$14:$C$33,3,FALSE)</f>
        <v>#DIV/0!</v>
      </c>
      <c r="O835" s="300">
        <f>IF(OR(M835="nio",M835="eigen dienst"),0,IF(M835&gt;0,VLOOKUP(H835,'3-Productie normen'!A:J,VLOOKUP(M835,'3-Productie normen'!$B$34:$C$35,2,FALSE),FALSE)))</f>
        <v>0</v>
      </c>
      <c r="P835" s="301" t="str">
        <f>VLOOKUP(H835,'3-Productie normen'!A:L,12,FALSE)</f>
        <v>S</v>
      </c>
      <c r="Q835" s="301"/>
      <c r="S835" s="302">
        <f t="shared" si="42"/>
        <v>1600</v>
      </c>
    </row>
    <row r="836" spans="1:19" ht="14.15" customHeight="1">
      <c r="A836" s="71">
        <v>836</v>
      </c>
      <c r="B836" s="418" t="s">
        <v>209</v>
      </c>
      <c r="C836" s="467" t="s">
        <v>717</v>
      </c>
      <c r="D836" s="467" t="s">
        <v>720</v>
      </c>
      <c r="E836" s="67" t="s">
        <v>713</v>
      </c>
      <c r="F836" s="468" t="s">
        <v>293</v>
      </c>
      <c r="G836" s="67" t="s">
        <v>524</v>
      </c>
      <c r="H836" s="287" t="s">
        <v>609</v>
      </c>
      <c r="I836" s="67" t="s">
        <v>70</v>
      </c>
      <c r="J836" s="67" t="s">
        <v>70</v>
      </c>
      <c r="K836" s="67">
        <v>56.1</v>
      </c>
      <c r="L836" s="299">
        <f t="shared" si="41"/>
        <v>200</v>
      </c>
      <c r="M836" s="221">
        <v>200</v>
      </c>
      <c r="N836" s="220" t="e">
        <f>IF(OR(M836="nio",M836="eigen dienst"),0,IF(M836&gt;0,M836*K836/O836,0))*VLOOKUP(B836,'2-Kosten per locatie'!$A$14:$C$33,3,FALSE)</f>
        <v>#DIV/0!</v>
      </c>
      <c r="O836" s="300">
        <f>IF(OR(M836="nio",M836="eigen dienst"),0,IF(M836&gt;0,VLOOKUP(H836,'3-Productie normen'!A:J,VLOOKUP(M836,'3-Productie normen'!$B$34:$C$35,2,FALSE),FALSE)))</f>
        <v>0</v>
      </c>
      <c r="P836" s="301" t="str">
        <f>VLOOKUP(H836,'3-Productie normen'!A:L,12,FALSE)</f>
        <v>L</v>
      </c>
      <c r="Q836" s="301"/>
      <c r="S836" s="302">
        <f t="shared" si="42"/>
        <v>11220</v>
      </c>
    </row>
    <row r="837" spans="1:19" ht="14.15" customHeight="1">
      <c r="A837" s="71">
        <v>837</v>
      </c>
      <c r="B837" s="418" t="s">
        <v>209</v>
      </c>
      <c r="C837" s="467" t="s">
        <v>717</v>
      </c>
      <c r="D837" s="467" t="s">
        <v>720</v>
      </c>
      <c r="E837" s="67" t="s">
        <v>713</v>
      </c>
      <c r="F837" s="468" t="s">
        <v>294</v>
      </c>
      <c r="G837" s="67" t="s">
        <v>516</v>
      </c>
      <c r="H837" s="67" t="s">
        <v>35</v>
      </c>
      <c r="I837" s="67" t="s">
        <v>70</v>
      </c>
      <c r="J837" s="67" t="s">
        <v>70</v>
      </c>
      <c r="K837" s="67">
        <v>10.6</v>
      </c>
      <c r="L837" s="299">
        <f t="shared" si="41"/>
        <v>200</v>
      </c>
      <c r="M837" s="221">
        <v>200</v>
      </c>
      <c r="N837" s="220" t="e">
        <f>IF(OR(M837="nio",M837="eigen dienst"),0,IF(M837&gt;0,M837*K837/O837,0))*VLOOKUP(B837,'2-Kosten per locatie'!$A$14:$C$33,3,FALSE)</f>
        <v>#DIV/0!</v>
      </c>
      <c r="O837" s="300">
        <f>IF(OR(M837="nio",M837="eigen dienst"),0,IF(M837&gt;0,VLOOKUP(H837,'3-Productie normen'!A:J,VLOOKUP(M837,'3-Productie normen'!$B$34:$C$35,2,FALSE),FALSE)))</f>
        <v>0</v>
      </c>
      <c r="P837" s="301" t="str">
        <f>VLOOKUP(H837,'3-Productie normen'!A:L,12,FALSE)</f>
        <v>B</v>
      </c>
      <c r="Q837" s="301"/>
      <c r="S837" s="302">
        <f t="shared" si="42"/>
        <v>2120</v>
      </c>
    </row>
    <row r="838" spans="1:19" ht="14.15" customHeight="1">
      <c r="A838" s="71">
        <v>838</v>
      </c>
      <c r="B838" s="418" t="s">
        <v>209</v>
      </c>
      <c r="C838" s="467" t="s">
        <v>717</v>
      </c>
      <c r="D838" s="467" t="s">
        <v>720</v>
      </c>
      <c r="E838" s="67" t="s">
        <v>713</v>
      </c>
      <c r="F838" s="468" t="s">
        <v>295</v>
      </c>
      <c r="G838" s="67" t="s">
        <v>515</v>
      </c>
      <c r="H838" s="67" t="s">
        <v>609</v>
      </c>
      <c r="I838" s="67" t="s">
        <v>70</v>
      </c>
      <c r="J838" s="67" t="s">
        <v>70</v>
      </c>
      <c r="K838" s="67">
        <v>57</v>
      </c>
      <c r="L838" s="299">
        <f t="shared" si="41"/>
        <v>200</v>
      </c>
      <c r="M838" s="221">
        <v>200</v>
      </c>
      <c r="N838" s="220" t="e">
        <f>IF(OR(M838="nio",M838="eigen dienst"),0,IF(M838&gt;0,M838*K838/O838,0))*VLOOKUP(B838,'2-Kosten per locatie'!$A$14:$C$33,3,FALSE)</f>
        <v>#DIV/0!</v>
      </c>
      <c r="O838" s="300">
        <f>IF(OR(M838="nio",M838="eigen dienst"),0,IF(M838&gt;0,VLOOKUP(H838,'3-Productie normen'!A:J,VLOOKUP(M838,'3-Productie normen'!$B$34:$C$35,2,FALSE),FALSE)))</f>
        <v>0</v>
      </c>
      <c r="P838" s="301" t="str">
        <f>VLOOKUP(H838,'3-Productie normen'!A:L,12,FALSE)</f>
        <v>L</v>
      </c>
      <c r="Q838" s="301"/>
      <c r="S838" s="302">
        <f t="shared" si="42"/>
        <v>11400</v>
      </c>
    </row>
    <row r="839" spans="1:19" ht="14.15" customHeight="1">
      <c r="A839" s="71">
        <v>839</v>
      </c>
      <c r="B839" s="418" t="s">
        <v>209</v>
      </c>
      <c r="C839" s="467" t="s">
        <v>717</v>
      </c>
      <c r="D839" s="467" t="s">
        <v>720</v>
      </c>
      <c r="E839" s="67" t="s">
        <v>714</v>
      </c>
      <c r="F839" s="468" t="s">
        <v>493</v>
      </c>
      <c r="G839" s="67" t="s">
        <v>566</v>
      </c>
      <c r="H839" s="287" t="s">
        <v>48</v>
      </c>
      <c r="I839" s="67" t="s">
        <v>202</v>
      </c>
      <c r="J839" s="67" t="s">
        <v>200</v>
      </c>
      <c r="K839" s="67">
        <v>8.1</v>
      </c>
      <c r="L839" s="299">
        <f t="shared" si="41"/>
        <v>200</v>
      </c>
      <c r="M839" s="221">
        <v>200</v>
      </c>
      <c r="N839" s="220" t="e">
        <f>IF(OR(M839="nio",M839="eigen dienst"),0,IF(M839&gt;0,M839*K839/O839,0))*VLOOKUP(B839,'2-Kosten per locatie'!$A$14:$C$33,3,FALSE)</f>
        <v>#DIV/0!</v>
      </c>
      <c r="O839" s="300">
        <f>IF(OR(M839="nio",M839="eigen dienst"),0,IF(M839&gt;0,VLOOKUP(H839,'3-Productie normen'!A:J,VLOOKUP(M839,'3-Productie normen'!$B$34:$C$35,2,FALSE),FALSE)))</f>
        <v>0</v>
      </c>
      <c r="P839" s="301" t="str">
        <f>VLOOKUP(H839,'3-Productie normen'!A:L,12,FALSE)</f>
        <v>V</v>
      </c>
      <c r="Q839" s="301"/>
      <c r="S839" s="302">
        <f t="shared" si="42"/>
        <v>1620</v>
      </c>
    </row>
    <row r="840" spans="1:19" ht="14.15" customHeight="1">
      <c r="A840" s="71">
        <v>840</v>
      </c>
      <c r="B840" s="418" t="s">
        <v>209</v>
      </c>
      <c r="C840" s="467" t="s">
        <v>717</v>
      </c>
      <c r="D840" s="467" t="s">
        <v>720</v>
      </c>
      <c r="E840" s="67" t="s">
        <v>714</v>
      </c>
      <c r="F840" s="468" t="s">
        <v>700</v>
      </c>
      <c r="G840" s="67" t="s">
        <v>514</v>
      </c>
      <c r="H840" s="67" t="s">
        <v>37</v>
      </c>
      <c r="I840" s="67" t="s">
        <v>598</v>
      </c>
      <c r="J840" s="67" t="s">
        <v>179</v>
      </c>
      <c r="K840" s="67">
        <v>4.0999999999999996</v>
      </c>
      <c r="L840" s="299">
        <f t="shared" si="41"/>
        <v>200</v>
      </c>
      <c r="M840" s="221">
        <v>200</v>
      </c>
      <c r="N840" s="220" t="e">
        <f>IF(OR(M840="nio",M840="eigen dienst"),0,IF(M840&gt;0,M840*K840/O840,0))*VLOOKUP(B840,'2-Kosten per locatie'!$A$14:$C$33,3,FALSE)</f>
        <v>#DIV/0!</v>
      </c>
      <c r="O840" s="300">
        <f>IF(OR(M840="nio",M840="eigen dienst"),0,IF(M840&gt;0,VLOOKUP(H840,'3-Productie normen'!A:J,VLOOKUP(M840,'3-Productie normen'!$B$34:$C$35,2,FALSE),FALSE)))</f>
        <v>0</v>
      </c>
      <c r="P840" s="301" t="str">
        <f>VLOOKUP(H840,'3-Productie normen'!A:L,12,FALSE)</f>
        <v>S</v>
      </c>
      <c r="Q840" s="301"/>
      <c r="S840" s="302">
        <f t="shared" si="42"/>
        <v>819.99999999999989</v>
      </c>
    </row>
    <row r="841" spans="1:19" ht="14.15" customHeight="1">
      <c r="A841" s="71">
        <v>841</v>
      </c>
      <c r="B841" s="418" t="s">
        <v>209</v>
      </c>
      <c r="C841" s="467" t="s">
        <v>717</v>
      </c>
      <c r="D841" s="467" t="s">
        <v>720</v>
      </c>
      <c r="E841" s="67" t="s">
        <v>714</v>
      </c>
      <c r="F841" s="468" t="s">
        <v>701</v>
      </c>
      <c r="G841" s="67" t="s">
        <v>514</v>
      </c>
      <c r="H841" s="67" t="s">
        <v>37</v>
      </c>
      <c r="I841" s="67" t="s">
        <v>598</v>
      </c>
      <c r="J841" s="67" t="s">
        <v>179</v>
      </c>
      <c r="K841" s="67">
        <v>4.0999999999999996</v>
      </c>
      <c r="L841" s="299">
        <f t="shared" si="41"/>
        <v>200</v>
      </c>
      <c r="M841" s="221">
        <v>200</v>
      </c>
      <c r="N841" s="220" t="e">
        <f>IF(OR(M841="nio",M841="eigen dienst"),0,IF(M841&gt;0,M841*K841/O841,0))*VLOOKUP(B841,'2-Kosten per locatie'!$A$14:$C$33,3,FALSE)</f>
        <v>#DIV/0!</v>
      </c>
      <c r="O841" s="300">
        <f>IF(OR(M841="nio",M841="eigen dienst"),0,IF(M841&gt;0,VLOOKUP(H841,'3-Productie normen'!A:J,VLOOKUP(M841,'3-Productie normen'!$B$34:$C$35,2,FALSE),FALSE)))</f>
        <v>0</v>
      </c>
      <c r="P841" s="301" t="str">
        <f>VLOOKUP(H841,'3-Productie normen'!A:L,12,FALSE)</f>
        <v>S</v>
      </c>
      <c r="Q841" s="301"/>
      <c r="S841" s="302">
        <f t="shared" si="42"/>
        <v>819.99999999999989</v>
      </c>
    </row>
    <row r="842" spans="1:19" ht="14.15" customHeight="1">
      <c r="A842" s="71">
        <v>842</v>
      </c>
      <c r="B842" s="418" t="s">
        <v>209</v>
      </c>
      <c r="C842" s="467" t="s">
        <v>717</v>
      </c>
      <c r="D842" s="467" t="s">
        <v>720</v>
      </c>
      <c r="E842" s="67" t="s">
        <v>714</v>
      </c>
      <c r="F842" s="468" t="s">
        <v>301</v>
      </c>
      <c r="G842" s="67" t="s">
        <v>512</v>
      </c>
      <c r="H842" s="67" t="s">
        <v>39</v>
      </c>
      <c r="I842" s="67" t="s">
        <v>70</v>
      </c>
      <c r="J842" s="67" t="s">
        <v>70</v>
      </c>
      <c r="K842" s="67">
        <v>67.2</v>
      </c>
      <c r="L842" s="299">
        <f t="shared" ref="L842:L857" si="43">SUM(M842:M842)</f>
        <v>200</v>
      </c>
      <c r="M842" s="221">
        <v>200</v>
      </c>
      <c r="N842" s="220" t="e">
        <f>IF(OR(M842="nio",M842="eigen dienst"),0,IF(M842&gt;0,M842*K842/O842,0))*VLOOKUP(B842,'2-Kosten per locatie'!$A$14:$C$33,3,FALSE)</f>
        <v>#DIV/0!</v>
      </c>
      <c r="O842" s="300">
        <f>IF(OR(M842="nio",M842="eigen dienst"),0,IF(M842&gt;0,VLOOKUP(H842,'3-Productie normen'!A:J,VLOOKUP(M842,'3-Productie normen'!$B$34:$C$35,2,FALSE),FALSE)))</f>
        <v>0</v>
      </c>
      <c r="P842" s="301" t="str">
        <f>VLOOKUP(H842,'3-Productie normen'!A:L,12,FALSE)</f>
        <v>V</v>
      </c>
      <c r="Q842" s="301"/>
      <c r="S842" s="302">
        <f t="shared" ref="S842:S857" si="44">L842*K842</f>
        <v>13440</v>
      </c>
    </row>
    <row r="843" spans="1:19" ht="14.15" customHeight="1">
      <c r="A843" s="71">
        <v>843</v>
      </c>
      <c r="B843" s="418" t="s">
        <v>209</v>
      </c>
      <c r="C843" s="467" t="s">
        <v>717</v>
      </c>
      <c r="D843" s="467" t="s">
        <v>720</v>
      </c>
      <c r="E843" s="67" t="s">
        <v>714</v>
      </c>
      <c r="F843" s="468" t="s">
        <v>302</v>
      </c>
      <c r="G843" s="67" t="s">
        <v>515</v>
      </c>
      <c r="H843" s="67" t="s">
        <v>609</v>
      </c>
      <c r="I843" s="67" t="s">
        <v>70</v>
      </c>
      <c r="J843" s="67" t="s">
        <v>70</v>
      </c>
      <c r="K843" s="67">
        <v>56.6</v>
      </c>
      <c r="L843" s="299">
        <f t="shared" si="43"/>
        <v>200</v>
      </c>
      <c r="M843" s="221">
        <v>200</v>
      </c>
      <c r="N843" s="220" t="e">
        <f>IF(OR(M843="nio",M843="eigen dienst"),0,IF(M843&gt;0,M843*K843/O843,0))*VLOOKUP(B843,'2-Kosten per locatie'!$A$14:$C$33,3,FALSE)</f>
        <v>#DIV/0!</v>
      </c>
      <c r="O843" s="300">
        <f>IF(OR(M843="nio",M843="eigen dienst"),0,IF(M843&gt;0,VLOOKUP(H843,'3-Productie normen'!A:J,VLOOKUP(M843,'3-Productie normen'!$B$34:$C$35,2,FALSE),FALSE)))</f>
        <v>0</v>
      </c>
      <c r="P843" s="301" t="str">
        <f>VLOOKUP(H843,'3-Productie normen'!A:L,12,FALSE)</f>
        <v>L</v>
      </c>
      <c r="Q843" s="301"/>
      <c r="S843" s="302">
        <f t="shared" si="44"/>
        <v>11320</v>
      </c>
    </row>
    <row r="844" spans="1:19" ht="14.15" customHeight="1">
      <c r="A844" s="71">
        <v>844</v>
      </c>
      <c r="B844" s="418" t="s">
        <v>209</v>
      </c>
      <c r="C844" s="467" t="s">
        <v>717</v>
      </c>
      <c r="D844" s="467" t="s">
        <v>720</v>
      </c>
      <c r="E844" s="67" t="s">
        <v>714</v>
      </c>
      <c r="F844" s="468" t="s">
        <v>303</v>
      </c>
      <c r="G844" s="67" t="s">
        <v>515</v>
      </c>
      <c r="H844" s="67" t="s">
        <v>609</v>
      </c>
      <c r="I844" s="67" t="s">
        <v>70</v>
      </c>
      <c r="J844" s="67" t="s">
        <v>70</v>
      </c>
      <c r="K844" s="67">
        <v>56.6</v>
      </c>
      <c r="L844" s="299">
        <f t="shared" si="43"/>
        <v>200</v>
      </c>
      <c r="M844" s="221">
        <v>200</v>
      </c>
      <c r="N844" s="220" t="e">
        <f>IF(OR(M844="nio",M844="eigen dienst"),0,IF(M844&gt;0,M844*K844/O844,0))*VLOOKUP(B844,'2-Kosten per locatie'!$A$14:$C$33,3,FALSE)</f>
        <v>#DIV/0!</v>
      </c>
      <c r="O844" s="300">
        <f>IF(OR(M844="nio",M844="eigen dienst"),0,IF(M844&gt;0,VLOOKUP(H844,'3-Productie normen'!A:J,VLOOKUP(M844,'3-Productie normen'!$B$34:$C$35,2,FALSE),FALSE)))</f>
        <v>0</v>
      </c>
      <c r="P844" s="301" t="str">
        <f>VLOOKUP(H844,'3-Productie normen'!A:L,12,FALSE)</f>
        <v>L</v>
      </c>
      <c r="Q844" s="301"/>
      <c r="S844" s="302">
        <f t="shared" si="44"/>
        <v>11320</v>
      </c>
    </row>
    <row r="845" spans="1:19" ht="14.15" customHeight="1">
      <c r="A845" s="71">
        <v>845</v>
      </c>
      <c r="B845" s="418" t="s">
        <v>209</v>
      </c>
      <c r="C845" s="467" t="s">
        <v>717</v>
      </c>
      <c r="D845" s="467" t="s">
        <v>720</v>
      </c>
      <c r="E845" s="67" t="s">
        <v>714</v>
      </c>
      <c r="F845" s="468" t="s">
        <v>304</v>
      </c>
      <c r="G845" s="67" t="s">
        <v>515</v>
      </c>
      <c r="H845" s="67" t="s">
        <v>609</v>
      </c>
      <c r="I845" s="67" t="s">
        <v>70</v>
      </c>
      <c r="J845" s="67" t="s">
        <v>70</v>
      </c>
      <c r="K845" s="67">
        <v>56.6</v>
      </c>
      <c r="L845" s="299">
        <f t="shared" si="43"/>
        <v>200</v>
      </c>
      <c r="M845" s="221">
        <v>200</v>
      </c>
      <c r="N845" s="220" t="e">
        <f>IF(OR(M845="nio",M845="eigen dienst"),0,IF(M845&gt;0,M845*K845/O845,0))*VLOOKUP(B845,'2-Kosten per locatie'!$A$14:$C$33,3,FALSE)</f>
        <v>#DIV/0!</v>
      </c>
      <c r="O845" s="300">
        <f>IF(OR(M845="nio",M845="eigen dienst"),0,IF(M845&gt;0,VLOOKUP(H845,'3-Productie normen'!A:J,VLOOKUP(M845,'3-Productie normen'!$B$34:$C$35,2,FALSE),FALSE)))</f>
        <v>0</v>
      </c>
      <c r="P845" s="301" t="str">
        <f>VLOOKUP(H845,'3-Productie normen'!A:L,12,FALSE)</f>
        <v>L</v>
      </c>
      <c r="Q845" s="301"/>
      <c r="S845" s="302">
        <f t="shared" si="44"/>
        <v>11320</v>
      </c>
    </row>
    <row r="846" spans="1:19" ht="14.15" customHeight="1">
      <c r="A846" s="71">
        <v>846</v>
      </c>
      <c r="B846" s="418" t="s">
        <v>218</v>
      </c>
      <c r="C846" s="467" t="s">
        <v>716</v>
      </c>
      <c r="D846" s="467" t="s">
        <v>720</v>
      </c>
      <c r="E846" s="67" t="s">
        <v>713</v>
      </c>
      <c r="F846" s="468" t="s">
        <v>220</v>
      </c>
      <c r="G846" s="67" t="s">
        <v>47</v>
      </c>
      <c r="H846" s="287" t="s">
        <v>47</v>
      </c>
      <c r="I846" s="67" t="s">
        <v>597</v>
      </c>
      <c r="J846" s="67" t="s">
        <v>201</v>
      </c>
      <c r="K846" s="67">
        <v>13.5</v>
      </c>
      <c r="L846" s="299">
        <f t="shared" si="43"/>
        <v>0</v>
      </c>
      <c r="M846" s="221" t="s">
        <v>631</v>
      </c>
      <c r="N846" s="220">
        <f>IF(OR(M846="nio",M846="eigen dienst"),0,IF(M846&gt;0,M846*K846/O846,0))*VLOOKUP(B846,'2-Kosten per locatie'!$A$14:$C$33,3,FALSE)</f>
        <v>0</v>
      </c>
      <c r="O846" s="300">
        <f>IF(OR(M846="nio",M846="eigen dienst"),0,IF(M846&gt;0,VLOOKUP(H846,'3-Productie normen'!A:J,VLOOKUP(M846,'3-Productie normen'!$B$34:$C$35,2,FALSE),FALSE)))</f>
        <v>0</v>
      </c>
      <c r="P846" s="301" t="str">
        <f>VLOOKUP(H846,'3-Productie normen'!A:L,12,FALSE)</f>
        <v>V</v>
      </c>
      <c r="Q846" s="301"/>
      <c r="S846" s="302">
        <f t="shared" si="44"/>
        <v>0</v>
      </c>
    </row>
    <row r="847" spans="1:19" ht="14.15" customHeight="1">
      <c r="A847" s="71">
        <v>847</v>
      </c>
      <c r="B847" s="418" t="s">
        <v>218</v>
      </c>
      <c r="C847" s="467" t="s">
        <v>716</v>
      </c>
      <c r="D847" s="467" t="s">
        <v>720</v>
      </c>
      <c r="E847" s="67" t="s">
        <v>713</v>
      </c>
      <c r="F847" s="468" t="s">
        <v>221</v>
      </c>
      <c r="G847" s="67" t="s">
        <v>512</v>
      </c>
      <c r="H847" s="67" t="s">
        <v>39</v>
      </c>
      <c r="I847" s="67" t="s">
        <v>705</v>
      </c>
      <c r="J847" s="67" t="s">
        <v>200</v>
      </c>
      <c r="K847" s="67">
        <v>16.5</v>
      </c>
      <c r="L847" s="299">
        <f t="shared" si="43"/>
        <v>0</v>
      </c>
      <c r="M847" s="221" t="s">
        <v>631</v>
      </c>
      <c r="N847" s="220">
        <f>IF(OR(M847="nio",M847="eigen dienst"),0,IF(M847&gt;0,M847*K847/O847,0))*VLOOKUP(B847,'2-Kosten per locatie'!$A$14:$C$33,3,FALSE)</f>
        <v>0</v>
      </c>
      <c r="O847" s="300">
        <f>IF(OR(M847="nio",M847="eigen dienst"),0,IF(M847&gt;0,VLOOKUP(H847,'3-Productie normen'!A:J,VLOOKUP(M847,'3-Productie normen'!$B$34:$C$35,2,FALSE),FALSE)))</f>
        <v>0</v>
      </c>
      <c r="P847" s="301" t="str">
        <f>VLOOKUP(H847,'3-Productie normen'!A:L,12,FALSE)</f>
        <v>V</v>
      </c>
      <c r="Q847" s="301"/>
      <c r="S847" s="302">
        <f t="shared" si="44"/>
        <v>0</v>
      </c>
    </row>
    <row r="848" spans="1:19" ht="14.15" customHeight="1">
      <c r="A848" s="71">
        <v>848</v>
      </c>
      <c r="B848" s="418" t="s">
        <v>218</v>
      </c>
      <c r="C848" s="467" t="s">
        <v>716</v>
      </c>
      <c r="D848" s="467" t="s">
        <v>720</v>
      </c>
      <c r="E848" s="67" t="s">
        <v>713</v>
      </c>
      <c r="F848" s="468" t="s">
        <v>222</v>
      </c>
      <c r="G848" s="67" t="s">
        <v>520</v>
      </c>
      <c r="H848" s="67" t="s">
        <v>520</v>
      </c>
      <c r="I848" s="67" t="s">
        <v>705</v>
      </c>
      <c r="J848" s="67" t="s">
        <v>200</v>
      </c>
      <c r="K848" s="67">
        <v>172</v>
      </c>
      <c r="L848" s="299">
        <f t="shared" si="43"/>
        <v>0</v>
      </c>
      <c r="M848" s="221" t="s">
        <v>631</v>
      </c>
      <c r="N848" s="220">
        <f>IF(OR(M848="nio",M848="eigen dienst"),0,IF(M848&gt;0,M848*K848/O848,0))*VLOOKUP(B848,'2-Kosten per locatie'!$A$14:$C$33,3,FALSE)</f>
        <v>0</v>
      </c>
      <c r="O848" s="300">
        <f>IF(OR(M848="nio",M848="eigen dienst"),0,IF(M848&gt;0,VLOOKUP(H848,'3-Productie normen'!A:J,VLOOKUP(M848,'3-Productie normen'!$B$34:$C$35,2,FALSE),FALSE)))</f>
        <v>0</v>
      </c>
      <c r="P848" s="301" t="str">
        <f>VLOOKUP(H848,'3-Productie normen'!A:L,12,FALSE)</f>
        <v>V</v>
      </c>
      <c r="Q848" s="301"/>
      <c r="S848" s="302">
        <f t="shared" si="44"/>
        <v>0</v>
      </c>
    </row>
    <row r="849" spans="1:19" ht="14.15" customHeight="1">
      <c r="A849" s="71">
        <v>849</v>
      </c>
      <c r="B849" s="418" t="s">
        <v>218</v>
      </c>
      <c r="C849" s="467" t="s">
        <v>716</v>
      </c>
      <c r="D849" s="467" t="s">
        <v>720</v>
      </c>
      <c r="E849" s="67" t="s">
        <v>713</v>
      </c>
      <c r="F849" s="468" t="s">
        <v>223</v>
      </c>
      <c r="G849" s="67" t="s">
        <v>536</v>
      </c>
      <c r="H849" s="287" t="s">
        <v>39</v>
      </c>
      <c r="I849" s="67" t="s">
        <v>705</v>
      </c>
      <c r="J849" s="67" t="s">
        <v>200</v>
      </c>
      <c r="K849" s="67">
        <v>5.8</v>
      </c>
      <c r="L849" s="299">
        <f t="shared" si="43"/>
        <v>0</v>
      </c>
      <c r="M849" s="221" t="s">
        <v>631</v>
      </c>
      <c r="N849" s="220">
        <f>IF(OR(M849="nio",M849="eigen dienst"),0,IF(M849&gt;0,M849*K849/O849,0))*VLOOKUP(B849,'2-Kosten per locatie'!$A$14:$C$33,3,FALSE)</f>
        <v>0</v>
      </c>
      <c r="O849" s="300">
        <f>IF(OR(M849="nio",M849="eigen dienst"),0,IF(M849&gt;0,VLOOKUP(H849,'3-Productie normen'!A:J,VLOOKUP(M849,'3-Productie normen'!$B$34:$C$35,2,FALSE),FALSE)))</f>
        <v>0</v>
      </c>
      <c r="P849" s="301" t="str">
        <f>VLOOKUP(H849,'3-Productie normen'!A:L,12,FALSE)</f>
        <v>V</v>
      </c>
      <c r="Q849" s="301"/>
      <c r="S849" s="302">
        <f t="shared" si="44"/>
        <v>0</v>
      </c>
    </row>
    <row r="850" spans="1:19" ht="14.15" customHeight="1">
      <c r="A850" s="71">
        <v>850</v>
      </c>
      <c r="B850" s="418" t="s">
        <v>218</v>
      </c>
      <c r="C850" s="467" t="s">
        <v>716</v>
      </c>
      <c r="D850" s="467" t="s">
        <v>720</v>
      </c>
      <c r="E850" s="67" t="s">
        <v>713</v>
      </c>
      <c r="F850" s="468" t="s">
        <v>265</v>
      </c>
      <c r="G850" s="67" t="s">
        <v>514</v>
      </c>
      <c r="H850" s="67" t="s">
        <v>37</v>
      </c>
      <c r="I850" s="67" t="s">
        <v>601</v>
      </c>
      <c r="J850" s="67" t="s">
        <v>179</v>
      </c>
      <c r="K850" s="67">
        <v>7.8</v>
      </c>
      <c r="L850" s="299">
        <f t="shared" si="43"/>
        <v>0</v>
      </c>
      <c r="M850" s="221" t="s">
        <v>631</v>
      </c>
      <c r="N850" s="220">
        <f>IF(OR(M850="nio",M850="eigen dienst"),0,IF(M850&gt;0,M850*K850/O850,0))*VLOOKUP(B850,'2-Kosten per locatie'!$A$14:$C$33,3,FALSE)</f>
        <v>0</v>
      </c>
      <c r="O850" s="300">
        <f>IF(OR(M850="nio",M850="eigen dienst"),0,IF(M850&gt;0,VLOOKUP(H850,'3-Productie normen'!A:J,VLOOKUP(M850,'3-Productie normen'!$B$34:$C$35,2,FALSE),FALSE)))</f>
        <v>0</v>
      </c>
      <c r="P850" s="301" t="str">
        <f>VLOOKUP(H850,'3-Productie normen'!A:L,12,FALSE)</f>
        <v>S</v>
      </c>
      <c r="Q850" s="301"/>
      <c r="S850" s="302">
        <f t="shared" si="44"/>
        <v>0</v>
      </c>
    </row>
    <row r="851" spans="1:19" ht="14.15" customHeight="1">
      <c r="A851" s="71">
        <v>851</v>
      </c>
      <c r="B851" s="418" t="s">
        <v>218</v>
      </c>
      <c r="C851" s="467" t="s">
        <v>716</v>
      </c>
      <c r="D851" s="467" t="s">
        <v>720</v>
      </c>
      <c r="E851" s="67" t="s">
        <v>713</v>
      </c>
      <c r="F851" s="468" t="s">
        <v>224</v>
      </c>
      <c r="G851" s="67" t="s">
        <v>514</v>
      </c>
      <c r="H851" s="67" t="s">
        <v>37</v>
      </c>
      <c r="I851" s="67" t="s">
        <v>601</v>
      </c>
      <c r="J851" s="67" t="s">
        <v>179</v>
      </c>
      <c r="K851" s="67">
        <v>7.8</v>
      </c>
      <c r="L851" s="299">
        <f t="shared" si="43"/>
        <v>0</v>
      </c>
      <c r="M851" s="221" t="s">
        <v>631</v>
      </c>
      <c r="N851" s="220">
        <f>IF(OR(M851="nio",M851="eigen dienst"),0,IF(M851&gt;0,M851*K851/O851,0))*VLOOKUP(B851,'2-Kosten per locatie'!$A$14:$C$33,3,FALSE)</f>
        <v>0</v>
      </c>
      <c r="O851" s="300">
        <f>IF(OR(M851="nio",M851="eigen dienst"),0,IF(M851&gt;0,VLOOKUP(H851,'3-Productie normen'!A:J,VLOOKUP(M851,'3-Productie normen'!$B$34:$C$35,2,FALSE),FALSE)))</f>
        <v>0</v>
      </c>
      <c r="P851" s="301" t="str">
        <f>VLOOKUP(H851,'3-Productie normen'!A:L,12,FALSE)</f>
        <v>S</v>
      </c>
      <c r="Q851" s="301"/>
      <c r="S851" s="302">
        <f t="shared" si="44"/>
        <v>0</v>
      </c>
    </row>
    <row r="852" spans="1:19" ht="14.15" customHeight="1">
      <c r="A852" s="71">
        <v>852</v>
      </c>
      <c r="B852" s="418" t="s">
        <v>218</v>
      </c>
      <c r="C852" s="467" t="s">
        <v>716</v>
      </c>
      <c r="D852" s="467" t="s">
        <v>720</v>
      </c>
      <c r="E852" s="67" t="s">
        <v>713</v>
      </c>
      <c r="F852" s="468" t="s">
        <v>225</v>
      </c>
      <c r="G852" s="67" t="s">
        <v>536</v>
      </c>
      <c r="H852" s="287" t="s">
        <v>39</v>
      </c>
      <c r="I852" s="67" t="s">
        <v>705</v>
      </c>
      <c r="J852" s="67" t="s">
        <v>200</v>
      </c>
      <c r="K852" s="67">
        <v>11</v>
      </c>
      <c r="L852" s="299">
        <f t="shared" si="43"/>
        <v>0</v>
      </c>
      <c r="M852" s="221" t="s">
        <v>631</v>
      </c>
      <c r="N852" s="220">
        <f>IF(OR(M852="nio",M852="eigen dienst"),0,IF(M852&gt;0,M852*K852/O852,0))*VLOOKUP(B852,'2-Kosten per locatie'!$A$14:$C$33,3,FALSE)</f>
        <v>0</v>
      </c>
      <c r="O852" s="300">
        <f>IF(OR(M852="nio",M852="eigen dienst"),0,IF(M852&gt;0,VLOOKUP(H852,'3-Productie normen'!A:J,VLOOKUP(M852,'3-Productie normen'!$B$34:$C$35,2,FALSE),FALSE)))</f>
        <v>0</v>
      </c>
      <c r="P852" s="301" t="str">
        <f>VLOOKUP(H852,'3-Productie normen'!A:L,12,FALSE)</f>
        <v>V</v>
      </c>
      <c r="Q852" s="301"/>
      <c r="S852" s="302">
        <f t="shared" si="44"/>
        <v>0</v>
      </c>
    </row>
    <row r="853" spans="1:19" ht="14.15" customHeight="1">
      <c r="A853" s="71">
        <v>853</v>
      </c>
      <c r="B853" s="418" t="s">
        <v>218</v>
      </c>
      <c r="C853" s="467" t="s">
        <v>716</v>
      </c>
      <c r="D853" s="467" t="s">
        <v>720</v>
      </c>
      <c r="E853" s="67" t="s">
        <v>713</v>
      </c>
      <c r="F853" s="468" t="s">
        <v>226</v>
      </c>
      <c r="G853" s="67" t="s">
        <v>48</v>
      </c>
      <c r="H853" s="287" t="s">
        <v>48</v>
      </c>
      <c r="I853" s="67" t="s">
        <v>705</v>
      </c>
      <c r="J853" s="67" t="s">
        <v>200</v>
      </c>
      <c r="K853" s="67">
        <v>7.3</v>
      </c>
      <c r="L853" s="299">
        <f t="shared" si="43"/>
        <v>0</v>
      </c>
      <c r="M853" s="221" t="s">
        <v>631</v>
      </c>
      <c r="N853" s="220">
        <f>IF(OR(M853="nio",M853="eigen dienst"),0,IF(M853&gt;0,M853*K853/O853,0))*VLOOKUP(B853,'2-Kosten per locatie'!$A$14:$C$33,3,FALSE)</f>
        <v>0</v>
      </c>
      <c r="O853" s="300">
        <f>IF(OR(M853="nio",M853="eigen dienst"),0,IF(M853&gt;0,VLOOKUP(H853,'3-Productie normen'!A:J,VLOOKUP(M853,'3-Productie normen'!$B$34:$C$35,2,FALSE),FALSE)))</f>
        <v>0</v>
      </c>
      <c r="P853" s="301" t="str">
        <f>VLOOKUP(H853,'3-Productie normen'!A:L,12,FALSE)</f>
        <v>V</v>
      </c>
      <c r="Q853" s="301"/>
      <c r="S853" s="302">
        <f t="shared" si="44"/>
        <v>0</v>
      </c>
    </row>
    <row r="854" spans="1:19" ht="14.15" customHeight="1">
      <c r="A854" s="71">
        <v>854</v>
      </c>
      <c r="B854" s="418" t="s">
        <v>218</v>
      </c>
      <c r="C854" s="467" t="s">
        <v>716</v>
      </c>
      <c r="D854" s="467" t="s">
        <v>720</v>
      </c>
      <c r="E854" s="67" t="s">
        <v>713</v>
      </c>
      <c r="F854" s="468" t="s">
        <v>227</v>
      </c>
      <c r="G854" s="67" t="s">
        <v>515</v>
      </c>
      <c r="H854" s="67" t="s">
        <v>609</v>
      </c>
      <c r="I854" s="67" t="s">
        <v>705</v>
      </c>
      <c r="J854" s="67" t="s">
        <v>200</v>
      </c>
      <c r="K854" s="67">
        <v>53.2</v>
      </c>
      <c r="L854" s="299">
        <f t="shared" si="43"/>
        <v>0</v>
      </c>
      <c r="M854" s="221" t="s">
        <v>631</v>
      </c>
      <c r="N854" s="220">
        <f>IF(OR(M854="nio",M854="eigen dienst"),0,IF(M854&gt;0,M854*K854/O854,0))*VLOOKUP(B854,'2-Kosten per locatie'!$A$14:$C$33,3,FALSE)</f>
        <v>0</v>
      </c>
      <c r="O854" s="300">
        <f>IF(OR(M854="nio",M854="eigen dienst"),0,IF(M854&gt;0,VLOOKUP(H854,'3-Productie normen'!A:J,VLOOKUP(M854,'3-Productie normen'!$B$34:$C$35,2,FALSE),FALSE)))</f>
        <v>0</v>
      </c>
      <c r="P854" s="301" t="str">
        <f>VLOOKUP(H854,'3-Productie normen'!A:L,12,FALSE)</f>
        <v>L</v>
      </c>
      <c r="Q854" s="301"/>
      <c r="S854" s="302">
        <f t="shared" si="44"/>
        <v>0</v>
      </c>
    </row>
    <row r="855" spans="1:19" ht="14.15" customHeight="1">
      <c r="A855" s="71">
        <v>855</v>
      </c>
      <c r="B855" s="418" t="s">
        <v>218</v>
      </c>
      <c r="C855" s="467" t="s">
        <v>716</v>
      </c>
      <c r="D855" s="467" t="s">
        <v>720</v>
      </c>
      <c r="E855" s="67" t="s">
        <v>713</v>
      </c>
      <c r="F855" s="468" t="s">
        <v>228</v>
      </c>
      <c r="G855" s="67" t="s">
        <v>515</v>
      </c>
      <c r="H855" s="67" t="s">
        <v>609</v>
      </c>
      <c r="I855" s="67" t="s">
        <v>705</v>
      </c>
      <c r="J855" s="67" t="s">
        <v>200</v>
      </c>
      <c r="K855" s="67">
        <v>53.2</v>
      </c>
      <c r="L855" s="299">
        <f t="shared" si="43"/>
        <v>0</v>
      </c>
      <c r="M855" s="221" t="s">
        <v>631</v>
      </c>
      <c r="N855" s="220">
        <f>IF(OR(M855="nio",M855="eigen dienst"),0,IF(M855&gt;0,M855*K855/O855,0))*VLOOKUP(B855,'2-Kosten per locatie'!$A$14:$C$33,3,FALSE)</f>
        <v>0</v>
      </c>
      <c r="O855" s="300">
        <f>IF(OR(M855="nio",M855="eigen dienst"),0,IF(M855&gt;0,VLOOKUP(H855,'3-Productie normen'!A:J,VLOOKUP(M855,'3-Productie normen'!$B$34:$C$35,2,FALSE),FALSE)))</f>
        <v>0</v>
      </c>
      <c r="P855" s="301" t="str">
        <f>VLOOKUP(H855,'3-Productie normen'!A:L,12,FALSE)</f>
        <v>L</v>
      </c>
      <c r="Q855" s="301"/>
      <c r="S855" s="302">
        <f t="shared" si="44"/>
        <v>0</v>
      </c>
    </row>
    <row r="856" spans="1:19" ht="14.15" customHeight="1">
      <c r="A856" s="71">
        <v>856</v>
      </c>
      <c r="B856" s="418" t="s">
        <v>218</v>
      </c>
      <c r="C856" s="467" t="s">
        <v>716</v>
      </c>
      <c r="D856" s="467" t="s">
        <v>720</v>
      </c>
      <c r="E856" s="67" t="s">
        <v>713</v>
      </c>
      <c r="F856" s="468" t="s">
        <v>229</v>
      </c>
      <c r="G856" s="67" t="s">
        <v>515</v>
      </c>
      <c r="H856" s="67" t="s">
        <v>609</v>
      </c>
      <c r="I856" s="67" t="s">
        <v>705</v>
      </c>
      <c r="J856" s="67" t="s">
        <v>200</v>
      </c>
      <c r="K856" s="67">
        <v>53.2</v>
      </c>
      <c r="L856" s="299">
        <f t="shared" si="43"/>
        <v>0</v>
      </c>
      <c r="M856" s="221" t="s">
        <v>631</v>
      </c>
      <c r="N856" s="220">
        <f>IF(OR(M856="nio",M856="eigen dienst"),0,IF(M856&gt;0,M856*K856/O856,0))*VLOOKUP(B856,'2-Kosten per locatie'!$A$14:$C$33,3,FALSE)</f>
        <v>0</v>
      </c>
      <c r="O856" s="300">
        <f>IF(OR(M856="nio",M856="eigen dienst"),0,IF(M856&gt;0,VLOOKUP(H856,'3-Productie normen'!A:J,VLOOKUP(M856,'3-Productie normen'!$B$34:$C$35,2,FALSE),FALSE)))</f>
        <v>0</v>
      </c>
      <c r="P856" s="301" t="str">
        <f>VLOOKUP(H856,'3-Productie normen'!A:L,12,FALSE)</f>
        <v>L</v>
      </c>
      <c r="Q856" s="301"/>
      <c r="S856" s="302">
        <f t="shared" si="44"/>
        <v>0</v>
      </c>
    </row>
    <row r="857" spans="1:19" ht="14.15" customHeight="1">
      <c r="A857" s="71">
        <v>857</v>
      </c>
      <c r="B857" s="418" t="s">
        <v>218</v>
      </c>
      <c r="C857" s="467" t="s">
        <v>716</v>
      </c>
      <c r="D857" s="467" t="s">
        <v>720</v>
      </c>
      <c r="E857" s="67" t="s">
        <v>713</v>
      </c>
      <c r="F857" s="468" t="s">
        <v>230</v>
      </c>
      <c r="G857" s="67" t="s">
        <v>47</v>
      </c>
      <c r="H857" s="287" t="s">
        <v>47</v>
      </c>
      <c r="I857" s="67" t="s">
        <v>597</v>
      </c>
      <c r="J857" s="67" t="s">
        <v>201</v>
      </c>
      <c r="K857" s="67">
        <v>15.2</v>
      </c>
      <c r="L857" s="299">
        <f t="shared" si="43"/>
        <v>0</v>
      </c>
      <c r="M857" s="221" t="s">
        <v>631</v>
      </c>
      <c r="N857" s="220">
        <f>IF(OR(M857="nio",M857="eigen dienst"),0,IF(M857&gt;0,M857*K857/O857,0))*VLOOKUP(B857,'2-Kosten per locatie'!$A$14:$C$33,3,FALSE)</f>
        <v>0</v>
      </c>
      <c r="O857" s="300">
        <f>IF(OR(M857="nio",M857="eigen dienst"),0,IF(M857&gt;0,VLOOKUP(H857,'3-Productie normen'!A:J,VLOOKUP(M857,'3-Productie normen'!$B$34:$C$35,2,FALSE),FALSE)))</f>
        <v>0</v>
      </c>
      <c r="P857" s="301" t="str">
        <f>VLOOKUP(H857,'3-Productie normen'!A:L,12,FALSE)</f>
        <v>V</v>
      </c>
      <c r="Q857" s="301"/>
      <c r="S857" s="302">
        <f t="shared" si="44"/>
        <v>0</v>
      </c>
    </row>
    <row r="858" spans="1:19" ht="14.15" customHeight="1">
      <c r="A858" s="71">
        <v>858</v>
      </c>
      <c r="B858" s="418" t="s">
        <v>218</v>
      </c>
      <c r="C858" s="467" t="s">
        <v>716</v>
      </c>
      <c r="D858" s="467" t="s">
        <v>720</v>
      </c>
      <c r="E858" s="67" t="s">
        <v>713</v>
      </c>
      <c r="F858" s="468" t="s">
        <v>231</v>
      </c>
      <c r="G858" s="67" t="s">
        <v>516</v>
      </c>
      <c r="H858" s="67" t="s">
        <v>35</v>
      </c>
      <c r="I858" s="67" t="s">
        <v>705</v>
      </c>
      <c r="J858" s="67" t="s">
        <v>200</v>
      </c>
      <c r="K858" s="67">
        <v>15.9</v>
      </c>
      <c r="L858" s="299">
        <f t="shared" ref="L858:L890" si="45">SUM(M858:M858)</f>
        <v>0</v>
      </c>
      <c r="M858" s="221" t="s">
        <v>631</v>
      </c>
      <c r="N858" s="220">
        <f>IF(OR(M858="nio",M858="eigen dienst"),0,IF(M858&gt;0,M858*K858/O858,0))*VLOOKUP(B858,'2-Kosten per locatie'!$A$14:$C$33,3,FALSE)</f>
        <v>0</v>
      </c>
      <c r="O858" s="300">
        <f>IF(OR(M858="nio",M858="eigen dienst"),0,IF(M858&gt;0,VLOOKUP(H858,'3-Productie normen'!A:J,VLOOKUP(M858,'3-Productie normen'!$B$34:$C$35,2,FALSE),FALSE)))</f>
        <v>0</v>
      </c>
      <c r="P858" s="301" t="str">
        <f>VLOOKUP(H858,'3-Productie normen'!A:L,12,FALSE)</f>
        <v>B</v>
      </c>
      <c r="Q858" s="301"/>
      <c r="S858" s="302">
        <f t="shared" ref="S858:S886" si="46">L858*K858</f>
        <v>0</v>
      </c>
    </row>
    <row r="859" spans="1:19" ht="14.15" customHeight="1">
      <c r="A859" s="71">
        <v>859</v>
      </c>
      <c r="B859" s="418" t="s">
        <v>218</v>
      </c>
      <c r="C859" s="467" t="s">
        <v>716</v>
      </c>
      <c r="D859" s="467" t="s">
        <v>720</v>
      </c>
      <c r="E859" s="67" t="s">
        <v>713</v>
      </c>
      <c r="F859" s="468" t="s">
        <v>232</v>
      </c>
      <c r="G859" s="67" t="s">
        <v>703</v>
      </c>
      <c r="H859" s="287" t="s">
        <v>630</v>
      </c>
      <c r="I859" s="67" t="s">
        <v>72</v>
      </c>
      <c r="J859" s="67" t="s">
        <v>200</v>
      </c>
      <c r="K859" s="67">
        <v>14.5</v>
      </c>
      <c r="L859" s="299">
        <f t="shared" si="45"/>
        <v>0</v>
      </c>
      <c r="M859" s="221" t="s">
        <v>629</v>
      </c>
      <c r="N859" s="220">
        <f>IF(OR(M859="nio",M859="eigen dienst"),0,IF(M859&gt;0,M859*K859/O859,0))*VLOOKUP(B859,'2-Kosten per locatie'!$A$14:$C$33,3,FALSE)</f>
        <v>0</v>
      </c>
      <c r="O859" s="300">
        <f>IF(OR(M859="nio",M859="eigen dienst"),0,IF(M859&gt;0,VLOOKUP(H859,'3-Productie normen'!A:J,VLOOKUP(M859,'3-Productie normen'!$B$34:$C$35,2,FALSE),FALSE)))</f>
        <v>0</v>
      </c>
      <c r="P859" s="301">
        <f>VLOOKUP(H859,'3-Productie normen'!A:L,12,FALSE)</f>
        <v>0</v>
      </c>
      <c r="Q859" s="301"/>
      <c r="S859" s="302">
        <f t="shared" si="46"/>
        <v>0</v>
      </c>
    </row>
    <row r="860" spans="1:19" ht="14.15" customHeight="1">
      <c r="A860" s="71">
        <v>860</v>
      </c>
      <c r="B860" s="418" t="s">
        <v>218</v>
      </c>
      <c r="C860" s="467" t="s">
        <v>716</v>
      </c>
      <c r="D860" s="467" t="s">
        <v>720</v>
      </c>
      <c r="E860" s="67" t="s">
        <v>713</v>
      </c>
      <c r="F860" s="468" t="s">
        <v>233</v>
      </c>
      <c r="G860" s="67" t="s">
        <v>521</v>
      </c>
      <c r="H860" s="271" t="s">
        <v>43</v>
      </c>
      <c r="I860" s="67" t="s">
        <v>705</v>
      </c>
      <c r="J860" s="67" t="s">
        <v>200</v>
      </c>
      <c r="K860" s="67">
        <v>30.4</v>
      </c>
      <c r="L860" s="299">
        <f t="shared" si="45"/>
        <v>0</v>
      </c>
      <c r="M860" s="221" t="s">
        <v>631</v>
      </c>
      <c r="N860" s="220">
        <f>IF(OR(M860="nio",M860="eigen dienst"),0,IF(M860&gt;0,M860*K860/O860,0))*VLOOKUP(B860,'2-Kosten per locatie'!$A$14:$C$33,3,FALSE)</f>
        <v>0</v>
      </c>
      <c r="O860" s="300">
        <f>IF(OR(M860="nio",M860="eigen dienst"),0,IF(M860&gt;0,VLOOKUP(H860,'3-Productie normen'!A:J,VLOOKUP(M860,'3-Productie normen'!$B$34:$C$35,2,FALSE),FALSE)))</f>
        <v>0</v>
      </c>
      <c r="P860" s="301" t="str">
        <f>VLOOKUP(H860,'3-Productie normen'!A:L,12,FALSE)</f>
        <v>B</v>
      </c>
      <c r="Q860" s="301"/>
      <c r="S860" s="302">
        <f t="shared" si="46"/>
        <v>0</v>
      </c>
    </row>
    <row r="861" spans="1:19" ht="14.15" customHeight="1">
      <c r="A861" s="71">
        <v>861</v>
      </c>
      <c r="B861" s="418" t="s">
        <v>218</v>
      </c>
      <c r="C861" s="467" t="s">
        <v>716</v>
      </c>
      <c r="D861" s="467" t="s">
        <v>720</v>
      </c>
      <c r="E861" s="67" t="s">
        <v>713</v>
      </c>
      <c r="F861" s="468" t="s">
        <v>234</v>
      </c>
      <c r="G861" s="67" t="s">
        <v>516</v>
      </c>
      <c r="H861" s="67" t="s">
        <v>35</v>
      </c>
      <c r="I861" s="67" t="s">
        <v>705</v>
      </c>
      <c r="J861" s="67" t="s">
        <v>200</v>
      </c>
      <c r="K861" s="67">
        <v>24.2</v>
      </c>
      <c r="L861" s="299">
        <f t="shared" si="45"/>
        <v>0</v>
      </c>
      <c r="M861" s="221" t="s">
        <v>631</v>
      </c>
      <c r="N861" s="220">
        <f>IF(OR(M861="nio",M861="eigen dienst"),0,IF(M861&gt;0,M861*K861/O861,0))*VLOOKUP(B861,'2-Kosten per locatie'!$A$14:$C$33,3,FALSE)</f>
        <v>0</v>
      </c>
      <c r="O861" s="300">
        <f>IF(OR(M861="nio",M861="eigen dienst"),0,IF(M861&gt;0,VLOOKUP(H861,'3-Productie normen'!A:J,VLOOKUP(M861,'3-Productie normen'!$B$34:$C$35,2,FALSE),FALSE)))</f>
        <v>0</v>
      </c>
      <c r="P861" s="301" t="str">
        <f>VLOOKUP(H861,'3-Productie normen'!A:L,12,FALSE)</f>
        <v>B</v>
      </c>
      <c r="Q861" s="301"/>
      <c r="S861" s="302">
        <f t="shared" si="46"/>
        <v>0</v>
      </c>
    </row>
    <row r="862" spans="1:19" ht="14.15" customHeight="1">
      <c r="A862" s="71">
        <v>862</v>
      </c>
      <c r="B862" s="418" t="s">
        <v>218</v>
      </c>
      <c r="C862" s="467" t="s">
        <v>716</v>
      </c>
      <c r="D862" s="467" t="s">
        <v>720</v>
      </c>
      <c r="E862" s="67" t="s">
        <v>713</v>
      </c>
      <c r="F862" s="468" t="s">
        <v>235</v>
      </c>
      <c r="G862" s="67" t="s">
        <v>537</v>
      </c>
      <c r="H862" s="67" t="s">
        <v>37</v>
      </c>
      <c r="I862" s="67" t="s">
        <v>601</v>
      </c>
      <c r="J862" s="67" t="s">
        <v>179</v>
      </c>
      <c r="K862" s="67">
        <v>3.6</v>
      </c>
      <c r="L862" s="299">
        <f t="shared" si="45"/>
        <v>0</v>
      </c>
      <c r="M862" s="221" t="s">
        <v>631</v>
      </c>
      <c r="N862" s="220">
        <f>IF(OR(M862="nio",M862="eigen dienst"),0,IF(M862&gt;0,M862*K862/O862,0))*VLOOKUP(B862,'2-Kosten per locatie'!$A$14:$C$33,3,FALSE)</f>
        <v>0</v>
      </c>
      <c r="O862" s="300">
        <f>IF(OR(M862="nio",M862="eigen dienst"),0,IF(M862&gt;0,VLOOKUP(H862,'3-Productie normen'!A:J,VLOOKUP(M862,'3-Productie normen'!$B$34:$C$35,2,FALSE),FALSE)))</f>
        <v>0</v>
      </c>
      <c r="P862" s="301" t="str">
        <f>VLOOKUP(H862,'3-Productie normen'!A:L,12,FALSE)</f>
        <v>S</v>
      </c>
      <c r="Q862" s="301"/>
      <c r="S862" s="302">
        <f t="shared" si="46"/>
        <v>0</v>
      </c>
    </row>
    <row r="863" spans="1:19" ht="14.15" customHeight="1">
      <c r="A863" s="71">
        <v>863</v>
      </c>
      <c r="B863" s="418" t="s">
        <v>218</v>
      </c>
      <c r="C863" s="467" t="s">
        <v>716</v>
      </c>
      <c r="D863" s="467" t="s">
        <v>720</v>
      </c>
      <c r="E863" s="67" t="s">
        <v>713</v>
      </c>
      <c r="F863" s="468" t="s">
        <v>236</v>
      </c>
      <c r="G863" s="67" t="s">
        <v>518</v>
      </c>
      <c r="H863" s="287" t="s">
        <v>630</v>
      </c>
      <c r="I863" s="67" t="s">
        <v>705</v>
      </c>
      <c r="J863" s="67" t="s">
        <v>200</v>
      </c>
      <c r="K863" s="67">
        <v>1.7</v>
      </c>
      <c r="L863" s="299">
        <f t="shared" si="45"/>
        <v>0</v>
      </c>
      <c r="M863" s="221" t="s">
        <v>629</v>
      </c>
      <c r="N863" s="220">
        <f>IF(OR(M863="nio",M863="eigen dienst"),0,IF(M863&gt;0,M863*K863/O863,0))*VLOOKUP(B863,'2-Kosten per locatie'!$A$14:$C$33,3,FALSE)</f>
        <v>0</v>
      </c>
      <c r="O863" s="300">
        <f>IF(OR(M863="nio",M863="eigen dienst"),0,IF(M863&gt;0,VLOOKUP(H863,'3-Productie normen'!A:J,VLOOKUP(M863,'3-Productie normen'!$B$34:$C$35,2,FALSE),FALSE)))</f>
        <v>0</v>
      </c>
      <c r="P863" s="301">
        <f>VLOOKUP(H863,'3-Productie normen'!A:L,12,FALSE)</f>
        <v>0</v>
      </c>
      <c r="Q863" s="301"/>
      <c r="S863" s="302">
        <f t="shared" si="46"/>
        <v>0</v>
      </c>
    </row>
    <row r="864" spans="1:19" ht="14.15" customHeight="1">
      <c r="A864" s="71">
        <v>864</v>
      </c>
      <c r="B864" s="418" t="s">
        <v>218</v>
      </c>
      <c r="C864" s="467" t="s">
        <v>716</v>
      </c>
      <c r="D864" s="467" t="s">
        <v>720</v>
      </c>
      <c r="E864" s="67" t="s">
        <v>713</v>
      </c>
      <c r="F864" s="468" t="s">
        <v>237</v>
      </c>
      <c r="G864" s="67" t="s">
        <v>522</v>
      </c>
      <c r="H864" s="287" t="s">
        <v>630</v>
      </c>
      <c r="I864" s="67" t="s">
        <v>705</v>
      </c>
      <c r="J864" s="67" t="s">
        <v>200</v>
      </c>
      <c r="K864" s="67">
        <v>2</v>
      </c>
      <c r="L864" s="299">
        <f t="shared" si="45"/>
        <v>0</v>
      </c>
      <c r="M864" s="221" t="s">
        <v>629</v>
      </c>
      <c r="N864" s="220">
        <f>IF(OR(M864="nio",M864="eigen dienst"),0,IF(M864&gt;0,M864*K864/O864,0))*VLOOKUP(B864,'2-Kosten per locatie'!$A$14:$C$33,3,FALSE)</f>
        <v>0</v>
      </c>
      <c r="O864" s="300">
        <f>IF(OR(M864="nio",M864="eigen dienst"),0,IF(M864&gt;0,VLOOKUP(H864,'3-Productie normen'!A:J,VLOOKUP(M864,'3-Productie normen'!$B$34:$C$35,2,FALSE),FALSE)))</f>
        <v>0</v>
      </c>
      <c r="P864" s="301">
        <f>VLOOKUP(H864,'3-Productie normen'!A:L,12,FALSE)</f>
        <v>0</v>
      </c>
      <c r="Q864" s="301"/>
      <c r="S864" s="302">
        <f t="shared" si="46"/>
        <v>0</v>
      </c>
    </row>
    <row r="865" spans="1:19" ht="14.15" customHeight="1">
      <c r="A865" s="71">
        <v>865</v>
      </c>
      <c r="B865" s="418" t="s">
        <v>218</v>
      </c>
      <c r="C865" s="467" t="s">
        <v>716</v>
      </c>
      <c r="D865" s="467" t="s">
        <v>720</v>
      </c>
      <c r="E865" s="67" t="s">
        <v>713</v>
      </c>
      <c r="F865" s="468" t="s">
        <v>238</v>
      </c>
      <c r="G865" s="67" t="s">
        <v>518</v>
      </c>
      <c r="H865" s="287" t="s">
        <v>630</v>
      </c>
      <c r="I865" s="67" t="s">
        <v>705</v>
      </c>
      <c r="J865" s="67" t="s">
        <v>200</v>
      </c>
      <c r="K865" s="67">
        <v>11.1</v>
      </c>
      <c r="L865" s="299">
        <f t="shared" si="45"/>
        <v>0</v>
      </c>
      <c r="M865" s="221" t="s">
        <v>629</v>
      </c>
      <c r="N865" s="220">
        <f>IF(OR(M865="nio",M865="eigen dienst"),0,IF(M865&gt;0,M865*K865/O865,0))*VLOOKUP(B865,'2-Kosten per locatie'!$A$14:$C$33,3,FALSE)</f>
        <v>0</v>
      </c>
      <c r="O865" s="300">
        <f>IF(OR(M865="nio",M865="eigen dienst"),0,IF(M865&gt;0,VLOOKUP(H865,'3-Productie normen'!A:J,VLOOKUP(M865,'3-Productie normen'!$B$34:$C$35,2,FALSE),FALSE)))</f>
        <v>0</v>
      </c>
      <c r="P865" s="301">
        <f>VLOOKUP(H865,'3-Productie normen'!A:L,12,FALSE)</f>
        <v>0</v>
      </c>
      <c r="Q865" s="301"/>
      <c r="S865" s="302">
        <f t="shared" si="46"/>
        <v>0</v>
      </c>
    </row>
    <row r="866" spans="1:19" ht="14.15" customHeight="1">
      <c r="A866" s="71">
        <v>866</v>
      </c>
      <c r="B866" s="418" t="s">
        <v>218</v>
      </c>
      <c r="C866" s="467" t="s">
        <v>716</v>
      </c>
      <c r="D866" s="467" t="s">
        <v>720</v>
      </c>
      <c r="E866" s="67" t="s">
        <v>713</v>
      </c>
      <c r="F866" s="468" t="s">
        <v>239</v>
      </c>
      <c r="G866" s="67" t="s">
        <v>513</v>
      </c>
      <c r="H866" s="67" t="s">
        <v>45</v>
      </c>
      <c r="I866" s="67" t="s">
        <v>705</v>
      </c>
      <c r="J866" s="67" t="s">
        <v>200</v>
      </c>
      <c r="K866" s="67">
        <v>90.9</v>
      </c>
      <c r="L866" s="299">
        <f t="shared" si="45"/>
        <v>0</v>
      </c>
      <c r="M866" s="221" t="s">
        <v>631</v>
      </c>
      <c r="N866" s="220">
        <f>IF(OR(M866="nio",M866="eigen dienst"),0,IF(M866&gt;0,M866*K866/O866,0))*VLOOKUP(B866,'2-Kosten per locatie'!$A$14:$C$33,3,FALSE)</f>
        <v>0</v>
      </c>
      <c r="O866" s="300">
        <f>IF(OR(M866="nio",M866="eigen dienst"),0,IF(M866&gt;0,VLOOKUP(H866,'3-Productie normen'!A:J,VLOOKUP(M866,'3-Productie normen'!$B$34:$C$35,2,FALSE),FALSE)))</f>
        <v>0</v>
      </c>
      <c r="P866" s="301" t="str">
        <f>VLOOKUP(H866,'3-Productie normen'!A:L,12,FALSE)</f>
        <v>L</v>
      </c>
      <c r="Q866" s="301"/>
      <c r="S866" s="302">
        <f t="shared" si="46"/>
        <v>0</v>
      </c>
    </row>
    <row r="867" spans="1:19" ht="14.15" customHeight="1">
      <c r="A867" s="71">
        <v>867</v>
      </c>
      <c r="B867" s="418" t="s">
        <v>218</v>
      </c>
      <c r="C867" s="467" t="s">
        <v>716</v>
      </c>
      <c r="D867" s="467" t="s">
        <v>720</v>
      </c>
      <c r="E867" s="67" t="s">
        <v>713</v>
      </c>
      <c r="F867" s="468" t="s">
        <v>240</v>
      </c>
      <c r="G867" s="67" t="s">
        <v>515</v>
      </c>
      <c r="H867" s="67" t="s">
        <v>609</v>
      </c>
      <c r="I867" s="67" t="s">
        <v>705</v>
      </c>
      <c r="J867" s="67" t="s">
        <v>200</v>
      </c>
      <c r="K867" s="67">
        <v>53.2</v>
      </c>
      <c r="L867" s="299">
        <f t="shared" si="45"/>
        <v>0</v>
      </c>
      <c r="M867" s="221" t="s">
        <v>631</v>
      </c>
      <c r="N867" s="220">
        <f>IF(OR(M867="nio",M867="eigen dienst"),0,IF(M867&gt;0,M867*K867/O867,0))*VLOOKUP(B867,'2-Kosten per locatie'!$A$14:$C$33,3,FALSE)</f>
        <v>0</v>
      </c>
      <c r="O867" s="300">
        <f>IF(OR(M867="nio",M867="eigen dienst"),0,IF(M867&gt;0,VLOOKUP(H867,'3-Productie normen'!A:J,VLOOKUP(M867,'3-Productie normen'!$B$34:$C$35,2,FALSE),FALSE)))</f>
        <v>0</v>
      </c>
      <c r="P867" s="301" t="str">
        <f>VLOOKUP(H867,'3-Productie normen'!A:L,12,FALSE)</f>
        <v>L</v>
      </c>
      <c r="Q867" s="301"/>
      <c r="S867" s="302">
        <f t="shared" si="46"/>
        <v>0</v>
      </c>
    </row>
    <row r="868" spans="1:19" ht="14.15" customHeight="1">
      <c r="A868" s="71">
        <v>868</v>
      </c>
      <c r="B868" s="418" t="s">
        <v>218</v>
      </c>
      <c r="C868" s="467" t="s">
        <v>716</v>
      </c>
      <c r="D868" s="467" t="s">
        <v>720</v>
      </c>
      <c r="E868" s="67" t="s">
        <v>713</v>
      </c>
      <c r="F868" s="468" t="s">
        <v>241</v>
      </c>
      <c r="G868" s="67" t="s">
        <v>515</v>
      </c>
      <c r="H868" s="67" t="s">
        <v>609</v>
      </c>
      <c r="I868" s="67" t="s">
        <v>705</v>
      </c>
      <c r="J868" s="67" t="s">
        <v>200</v>
      </c>
      <c r="K868" s="67">
        <v>53.2</v>
      </c>
      <c r="L868" s="299">
        <f t="shared" si="45"/>
        <v>0</v>
      </c>
      <c r="M868" s="221" t="s">
        <v>631</v>
      </c>
      <c r="N868" s="220">
        <f>IF(OR(M868="nio",M868="eigen dienst"),0,IF(M868&gt;0,M868*K868/O868,0))*VLOOKUP(B868,'2-Kosten per locatie'!$A$14:$C$33,3,FALSE)</f>
        <v>0</v>
      </c>
      <c r="O868" s="300">
        <f>IF(OR(M868="nio",M868="eigen dienst"),0,IF(M868&gt;0,VLOOKUP(H868,'3-Productie normen'!A:J,VLOOKUP(M868,'3-Productie normen'!$B$34:$C$35,2,FALSE),FALSE)))</f>
        <v>0</v>
      </c>
      <c r="P868" s="301" t="str">
        <f>VLOOKUP(H868,'3-Productie normen'!A:L,12,FALSE)</f>
        <v>L</v>
      </c>
      <c r="Q868" s="301"/>
      <c r="S868" s="302">
        <f t="shared" si="46"/>
        <v>0</v>
      </c>
    </row>
    <row r="869" spans="1:19" ht="14.15" customHeight="1">
      <c r="A869" s="71">
        <v>869</v>
      </c>
      <c r="B869" s="418" t="s">
        <v>218</v>
      </c>
      <c r="C869" s="467" t="s">
        <v>716</v>
      </c>
      <c r="D869" s="467" t="s">
        <v>720</v>
      </c>
      <c r="E869" s="67" t="s">
        <v>713</v>
      </c>
      <c r="F869" s="468" t="s">
        <v>242</v>
      </c>
      <c r="G869" s="67" t="s">
        <v>539</v>
      </c>
      <c r="H869" s="67" t="s">
        <v>37</v>
      </c>
      <c r="I869" s="67" t="s">
        <v>598</v>
      </c>
      <c r="J869" s="67" t="s">
        <v>179</v>
      </c>
      <c r="K869" s="67">
        <v>4.4000000000000004</v>
      </c>
      <c r="L869" s="299">
        <f t="shared" si="45"/>
        <v>0</v>
      </c>
      <c r="M869" s="221" t="s">
        <v>631</v>
      </c>
      <c r="N869" s="220">
        <f>IF(OR(M869="nio",M869="eigen dienst"),0,IF(M869&gt;0,M869*K869/O869,0))*VLOOKUP(B869,'2-Kosten per locatie'!$A$14:$C$33,3,FALSE)</f>
        <v>0</v>
      </c>
      <c r="O869" s="300">
        <f>IF(OR(M869="nio",M869="eigen dienst"),0,IF(M869&gt;0,VLOOKUP(H869,'3-Productie normen'!A:J,VLOOKUP(M869,'3-Productie normen'!$B$34:$C$35,2,FALSE),FALSE)))</f>
        <v>0</v>
      </c>
      <c r="P869" s="301" t="str">
        <f>VLOOKUP(H869,'3-Productie normen'!A:L,12,FALSE)</f>
        <v>S</v>
      </c>
      <c r="Q869" s="301"/>
      <c r="S869" s="302">
        <f t="shared" si="46"/>
        <v>0</v>
      </c>
    </row>
    <row r="870" spans="1:19" ht="14.15" customHeight="1">
      <c r="A870" s="71">
        <v>870</v>
      </c>
      <c r="B870" s="418" t="s">
        <v>218</v>
      </c>
      <c r="C870" s="467" t="s">
        <v>716</v>
      </c>
      <c r="D870" s="467" t="s">
        <v>720</v>
      </c>
      <c r="E870" s="67" t="s">
        <v>713</v>
      </c>
      <c r="F870" s="468" t="s">
        <v>243</v>
      </c>
      <c r="G870" s="67" t="s">
        <v>518</v>
      </c>
      <c r="H870" s="287" t="s">
        <v>630</v>
      </c>
      <c r="I870" s="67" t="s">
        <v>180</v>
      </c>
      <c r="J870" s="67" t="s">
        <v>201</v>
      </c>
      <c r="K870" s="67">
        <v>3.5</v>
      </c>
      <c r="L870" s="299">
        <f t="shared" si="45"/>
        <v>0</v>
      </c>
      <c r="M870" s="221" t="s">
        <v>629</v>
      </c>
      <c r="N870" s="220">
        <f>IF(OR(M870="nio",M870="eigen dienst"),0,IF(M870&gt;0,M870*K870/O870,0))*VLOOKUP(B870,'2-Kosten per locatie'!$A$14:$C$33,3,FALSE)</f>
        <v>0</v>
      </c>
      <c r="O870" s="300">
        <f>IF(OR(M870="nio",M870="eigen dienst"),0,IF(M870&gt;0,VLOOKUP(H870,'3-Productie normen'!A:J,VLOOKUP(M870,'3-Productie normen'!$B$34:$C$35,2,FALSE),FALSE)))</f>
        <v>0</v>
      </c>
      <c r="P870" s="301">
        <f>VLOOKUP(H870,'3-Productie normen'!A:L,12,FALSE)</f>
        <v>0</v>
      </c>
      <c r="Q870" s="301"/>
      <c r="S870" s="302">
        <f t="shared" si="46"/>
        <v>0</v>
      </c>
    </row>
    <row r="871" spans="1:19" ht="14.15" customHeight="1">
      <c r="A871" s="71">
        <v>871</v>
      </c>
      <c r="B871" s="418" t="s">
        <v>218</v>
      </c>
      <c r="C871" s="467" t="s">
        <v>716</v>
      </c>
      <c r="D871" s="467" t="s">
        <v>720</v>
      </c>
      <c r="E871" s="67" t="s">
        <v>713</v>
      </c>
      <c r="F871" s="468" t="s">
        <v>244</v>
      </c>
      <c r="G871" s="67" t="s">
        <v>586</v>
      </c>
      <c r="H871" s="287" t="s">
        <v>609</v>
      </c>
      <c r="I871" s="67" t="s">
        <v>705</v>
      </c>
      <c r="J871" s="67" t="s">
        <v>200</v>
      </c>
      <c r="K871" s="67">
        <v>47.9</v>
      </c>
      <c r="L871" s="299">
        <f t="shared" si="45"/>
        <v>0</v>
      </c>
      <c r="M871" s="221" t="s">
        <v>631</v>
      </c>
      <c r="N871" s="220">
        <f>IF(OR(M871="nio",M871="eigen dienst"),0,IF(M871&gt;0,M871*K871/O871,0))*VLOOKUP(B871,'2-Kosten per locatie'!$A$14:$C$33,3,FALSE)</f>
        <v>0</v>
      </c>
      <c r="O871" s="300">
        <f>IF(OR(M871="nio",M871="eigen dienst"),0,IF(M871&gt;0,VLOOKUP(H871,'3-Productie normen'!A:J,VLOOKUP(M871,'3-Productie normen'!$B$34:$C$35,2,FALSE),FALSE)))</f>
        <v>0</v>
      </c>
      <c r="P871" s="301" t="str">
        <f>VLOOKUP(H871,'3-Productie normen'!A:L,12,FALSE)</f>
        <v>L</v>
      </c>
      <c r="Q871" s="301"/>
      <c r="S871" s="302">
        <f t="shared" si="46"/>
        <v>0</v>
      </c>
    </row>
    <row r="872" spans="1:19" ht="14.15" customHeight="1">
      <c r="A872" s="71">
        <v>872</v>
      </c>
      <c r="B872" s="418" t="s">
        <v>218</v>
      </c>
      <c r="C872" s="467" t="s">
        <v>716</v>
      </c>
      <c r="D872" s="467" t="s">
        <v>720</v>
      </c>
      <c r="E872" s="67" t="s">
        <v>713</v>
      </c>
      <c r="F872" s="468" t="s">
        <v>245</v>
      </c>
      <c r="G872" s="67" t="s">
        <v>48</v>
      </c>
      <c r="H872" s="287" t="s">
        <v>48</v>
      </c>
      <c r="I872" s="67" t="s">
        <v>605</v>
      </c>
      <c r="J872" s="67" t="s">
        <v>605</v>
      </c>
      <c r="K872" s="67">
        <v>9.5</v>
      </c>
      <c r="L872" s="299">
        <f t="shared" si="45"/>
        <v>0</v>
      </c>
      <c r="M872" s="221" t="s">
        <v>631</v>
      </c>
      <c r="N872" s="220">
        <f>IF(OR(M872="nio",M872="eigen dienst"),0,IF(M872&gt;0,M872*K872/O872,0))*VLOOKUP(B872,'2-Kosten per locatie'!$A$14:$C$33,3,FALSE)</f>
        <v>0</v>
      </c>
      <c r="O872" s="300">
        <f>IF(OR(M872="nio",M872="eigen dienst"),0,IF(M872&gt;0,VLOOKUP(H872,'3-Productie normen'!A:J,VLOOKUP(M872,'3-Productie normen'!$B$34:$C$35,2,FALSE),FALSE)))</f>
        <v>0</v>
      </c>
      <c r="P872" s="301" t="str">
        <f>VLOOKUP(H872,'3-Productie normen'!A:L,12,FALSE)</f>
        <v>V</v>
      </c>
      <c r="Q872" s="301"/>
      <c r="S872" s="302">
        <f t="shared" si="46"/>
        <v>0</v>
      </c>
    </row>
    <row r="873" spans="1:19" ht="14.15" customHeight="1">
      <c r="A873" s="71">
        <v>873</v>
      </c>
      <c r="B873" s="418" t="s">
        <v>218</v>
      </c>
      <c r="C873" s="467" t="s">
        <v>716</v>
      </c>
      <c r="D873" s="467" t="s">
        <v>720</v>
      </c>
      <c r="E873" s="67" t="s">
        <v>713</v>
      </c>
      <c r="F873" s="468" t="s">
        <v>246</v>
      </c>
      <c r="G873" s="67" t="s">
        <v>516</v>
      </c>
      <c r="H873" s="67" t="s">
        <v>35</v>
      </c>
      <c r="I873" s="67" t="s">
        <v>601</v>
      </c>
      <c r="J873" s="67" t="s">
        <v>200</v>
      </c>
      <c r="K873" s="67">
        <v>18.3</v>
      </c>
      <c r="L873" s="299">
        <f t="shared" si="45"/>
        <v>0</v>
      </c>
      <c r="M873" s="221" t="s">
        <v>631</v>
      </c>
      <c r="N873" s="220">
        <f>IF(OR(M873="nio",M873="eigen dienst"),0,IF(M873&gt;0,M873*K873/O873,0))*VLOOKUP(B873,'2-Kosten per locatie'!$A$14:$C$33,3,FALSE)</f>
        <v>0</v>
      </c>
      <c r="O873" s="300">
        <f>IF(OR(M873="nio",M873="eigen dienst"),0,IF(M873&gt;0,VLOOKUP(H873,'3-Productie normen'!A:J,VLOOKUP(M873,'3-Productie normen'!$B$34:$C$35,2,FALSE),FALSE)))</f>
        <v>0</v>
      </c>
      <c r="P873" s="301" t="str">
        <f>VLOOKUP(H873,'3-Productie normen'!A:L,12,FALSE)</f>
        <v>B</v>
      </c>
      <c r="Q873" s="301"/>
      <c r="S873" s="302">
        <f t="shared" si="46"/>
        <v>0</v>
      </c>
    </row>
    <row r="874" spans="1:19" ht="14.15" customHeight="1">
      <c r="A874" s="71">
        <v>874</v>
      </c>
      <c r="B874" s="418" t="s">
        <v>218</v>
      </c>
      <c r="C874" s="467" t="s">
        <v>716</v>
      </c>
      <c r="D874" s="467" t="s">
        <v>720</v>
      </c>
      <c r="E874" s="67" t="s">
        <v>713</v>
      </c>
      <c r="F874" s="468" t="s">
        <v>247</v>
      </c>
      <c r="G874" s="67" t="s">
        <v>518</v>
      </c>
      <c r="H874" s="287" t="s">
        <v>630</v>
      </c>
      <c r="I874" s="67" t="s">
        <v>601</v>
      </c>
      <c r="J874" s="67" t="s">
        <v>200</v>
      </c>
      <c r="K874" s="67">
        <v>4.9000000000000004</v>
      </c>
      <c r="L874" s="299">
        <f t="shared" si="45"/>
        <v>0</v>
      </c>
      <c r="M874" s="221" t="s">
        <v>629</v>
      </c>
      <c r="N874" s="220">
        <f>IF(OR(M874="nio",M874="eigen dienst"),0,IF(M874&gt;0,M874*K874/O874,0))*VLOOKUP(B874,'2-Kosten per locatie'!$A$14:$C$33,3,FALSE)</f>
        <v>0</v>
      </c>
      <c r="O874" s="300">
        <f>IF(OR(M874="nio",M874="eigen dienst"),0,IF(M874&gt;0,VLOOKUP(H874,'3-Productie normen'!A:J,VLOOKUP(M874,'3-Productie normen'!$B$34:$C$35,2,FALSE),FALSE)))</f>
        <v>0</v>
      </c>
      <c r="P874" s="301">
        <f>VLOOKUP(H874,'3-Productie normen'!A:L,12,FALSE)</f>
        <v>0</v>
      </c>
      <c r="Q874" s="301"/>
      <c r="S874" s="302">
        <f t="shared" si="46"/>
        <v>0</v>
      </c>
    </row>
    <row r="875" spans="1:19" ht="14.15" customHeight="1">
      <c r="A875" s="71">
        <v>875</v>
      </c>
      <c r="B875" s="418" t="s">
        <v>218</v>
      </c>
      <c r="C875" s="467" t="s">
        <v>716</v>
      </c>
      <c r="D875" s="467" t="s">
        <v>720</v>
      </c>
      <c r="E875" s="67" t="s">
        <v>713</v>
      </c>
      <c r="F875" s="468" t="s">
        <v>248</v>
      </c>
      <c r="G875" s="67" t="s">
        <v>516</v>
      </c>
      <c r="H875" s="67" t="s">
        <v>35</v>
      </c>
      <c r="I875" s="67" t="s">
        <v>705</v>
      </c>
      <c r="J875" s="67" t="s">
        <v>200</v>
      </c>
      <c r="K875" s="67">
        <v>15</v>
      </c>
      <c r="L875" s="299">
        <f t="shared" si="45"/>
        <v>0</v>
      </c>
      <c r="M875" s="221" t="s">
        <v>631</v>
      </c>
      <c r="N875" s="220">
        <f>IF(OR(M875="nio",M875="eigen dienst"),0,IF(M875&gt;0,M875*K875/O875,0))*VLOOKUP(B875,'2-Kosten per locatie'!$A$14:$C$33,3,FALSE)</f>
        <v>0</v>
      </c>
      <c r="O875" s="300">
        <f>IF(OR(M875="nio",M875="eigen dienst"),0,IF(M875&gt;0,VLOOKUP(H875,'3-Productie normen'!A:J,VLOOKUP(M875,'3-Productie normen'!$B$34:$C$35,2,FALSE),FALSE)))</f>
        <v>0</v>
      </c>
      <c r="P875" s="301" t="str">
        <f>VLOOKUP(H875,'3-Productie normen'!A:L,12,FALSE)</f>
        <v>B</v>
      </c>
      <c r="Q875" s="301"/>
      <c r="S875" s="302">
        <f t="shared" si="46"/>
        <v>0</v>
      </c>
    </row>
    <row r="876" spans="1:19" ht="14.15" customHeight="1">
      <c r="A876" s="71">
        <v>876</v>
      </c>
      <c r="B876" s="418" t="s">
        <v>218</v>
      </c>
      <c r="C876" s="467" t="s">
        <v>716</v>
      </c>
      <c r="D876" s="467" t="s">
        <v>720</v>
      </c>
      <c r="E876" s="67" t="s">
        <v>713</v>
      </c>
      <c r="F876" s="468" t="s">
        <v>249</v>
      </c>
      <c r="G876" s="67" t="s">
        <v>577</v>
      </c>
      <c r="H876" s="287" t="s">
        <v>41</v>
      </c>
      <c r="I876" s="67" t="s">
        <v>705</v>
      </c>
      <c r="J876" s="67" t="s">
        <v>200</v>
      </c>
      <c r="K876" s="67">
        <v>21.7</v>
      </c>
      <c r="L876" s="299">
        <f t="shared" si="45"/>
        <v>0</v>
      </c>
      <c r="M876" s="221" t="s">
        <v>631</v>
      </c>
      <c r="N876" s="220">
        <f>IF(OR(M876="nio",M876="eigen dienst"),0,IF(M876&gt;0,M876*K876/O876,0))*VLOOKUP(B876,'2-Kosten per locatie'!$A$14:$C$33,3,FALSE)</f>
        <v>0</v>
      </c>
      <c r="O876" s="300">
        <f>IF(OR(M876="nio",M876="eigen dienst"),0,IF(M876&gt;0,VLOOKUP(H876,'3-Productie normen'!A:J,VLOOKUP(M876,'3-Productie normen'!$B$34:$C$35,2,FALSE),FALSE)))</f>
        <v>0</v>
      </c>
      <c r="P876" s="301" t="str">
        <f>VLOOKUP(H876,'3-Productie normen'!A:L,12,FALSE)</f>
        <v>V</v>
      </c>
      <c r="Q876" s="301"/>
      <c r="S876" s="302">
        <f t="shared" si="46"/>
        <v>0</v>
      </c>
    </row>
    <row r="877" spans="1:19" ht="14.15" customHeight="1">
      <c r="A877" s="71">
        <v>877</v>
      </c>
      <c r="B877" s="418" t="s">
        <v>218</v>
      </c>
      <c r="C877" s="467" t="s">
        <v>716</v>
      </c>
      <c r="D877" s="467" t="s">
        <v>720</v>
      </c>
      <c r="E877" s="67" t="s">
        <v>713</v>
      </c>
      <c r="F877" s="468" t="s">
        <v>250</v>
      </c>
      <c r="G877" s="67" t="s">
        <v>536</v>
      </c>
      <c r="H877" s="287" t="s">
        <v>39</v>
      </c>
      <c r="I877" s="67" t="s">
        <v>705</v>
      </c>
      <c r="J877" s="67" t="s">
        <v>200</v>
      </c>
      <c r="K877" s="67">
        <v>11.2</v>
      </c>
      <c r="L877" s="299">
        <f t="shared" si="45"/>
        <v>0</v>
      </c>
      <c r="M877" s="221" t="s">
        <v>631</v>
      </c>
      <c r="N877" s="220">
        <f>IF(OR(M877="nio",M877="eigen dienst"),0,IF(M877&gt;0,M877*K877/O877,0))*VLOOKUP(B877,'2-Kosten per locatie'!$A$14:$C$33,3,FALSE)</f>
        <v>0</v>
      </c>
      <c r="O877" s="300">
        <f>IF(OR(M877="nio",M877="eigen dienst"),0,IF(M877&gt;0,VLOOKUP(H877,'3-Productie normen'!A:J,VLOOKUP(M877,'3-Productie normen'!$B$34:$C$35,2,FALSE),FALSE)))</f>
        <v>0</v>
      </c>
      <c r="P877" s="301" t="str">
        <f>VLOOKUP(H877,'3-Productie normen'!A:L,12,FALSE)</f>
        <v>V</v>
      </c>
      <c r="Q877" s="301"/>
      <c r="S877" s="302">
        <f t="shared" si="46"/>
        <v>0</v>
      </c>
    </row>
    <row r="878" spans="1:19" ht="14.15" customHeight="1">
      <c r="A878" s="71">
        <v>878</v>
      </c>
      <c r="B878" s="418" t="s">
        <v>218</v>
      </c>
      <c r="C878" s="467" t="s">
        <v>716</v>
      </c>
      <c r="D878" s="467" t="s">
        <v>720</v>
      </c>
      <c r="E878" s="67" t="s">
        <v>714</v>
      </c>
      <c r="F878" s="468" t="s">
        <v>443</v>
      </c>
      <c r="G878" s="67" t="s">
        <v>586</v>
      </c>
      <c r="H878" s="287" t="s">
        <v>609</v>
      </c>
      <c r="I878" s="67" t="s">
        <v>705</v>
      </c>
      <c r="J878" s="67" t="s">
        <v>200</v>
      </c>
      <c r="K878" s="67">
        <v>63.8</v>
      </c>
      <c r="L878" s="299">
        <f t="shared" si="45"/>
        <v>0</v>
      </c>
      <c r="M878" s="221" t="s">
        <v>631</v>
      </c>
      <c r="N878" s="220">
        <f>IF(OR(M878="nio",M878="eigen dienst"),0,IF(M878&gt;0,M878*K878/O878,0))*VLOOKUP(B878,'2-Kosten per locatie'!$A$14:$C$33,3,FALSE)</f>
        <v>0</v>
      </c>
      <c r="O878" s="300">
        <f>IF(OR(M878="nio",M878="eigen dienst"),0,IF(M878&gt;0,VLOOKUP(H878,'3-Productie normen'!A:J,VLOOKUP(M878,'3-Productie normen'!$B$34:$C$35,2,FALSE),FALSE)))</f>
        <v>0</v>
      </c>
      <c r="P878" s="301" t="str">
        <f>VLOOKUP(H878,'3-Productie normen'!A:L,12,FALSE)</f>
        <v>L</v>
      </c>
      <c r="Q878" s="301"/>
      <c r="S878" s="302">
        <f t="shared" si="46"/>
        <v>0</v>
      </c>
    </row>
    <row r="879" spans="1:19" ht="14.15" customHeight="1">
      <c r="A879" s="71">
        <v>879</v>
      </c>
      <c r="B879" s="418" t="s">
        <v>218</v>
      </c>
      <c r="C879" s="467" t="s">
        <v>716</v>
      </c>
      <c r="D879" s="467" t="s">
        <v>720</v>
      </c>
      <c r="E879" s="67" t="s">
        <v>714</v>
      </c>
      <c r="F879" s="468" t="s">
        <v>444</v>
      </c>
      <c r="G879" s="67" t="s">
        <v>512</v>
      </c>
      <c r="H879" s="67" t="s">
        <v>39</v>
      </c>
      <c r="I879" s="67" t="s">
        <v>705</v>
      </c>
      <c r="J879" s="67" t="s">
        <v>200</v>
      </c>
      <c r="K879" s="67">
        <v>56.4</v>
      </c>
      <c r="L879" s="299">
        <f t="shared" si="45"/>
        <v>0</v>
      </c>
      <c r="M879" s="221" t="s">
        <v>631</v>
      </c>
      <c r="N879" s="220">
        <f>IF(OR(M879="nio",M879="eigen dienst"),0,IF(M879&gt;0,M879*K879/O879,0))*VLOOKUP(B879,'2-Kosten per locatie'!$A$14:$C$33,3,FALSE)</f>
        <v>0</v>
      </c>
      <c r="O879" s="300">
        <f>IF(OR(M879="nio",M879="eigen dienst"),0,IF(M879&gt;0,VLOOKUP(H879,'3-Productie normen'!A:J,VLOOKUP(M879,'3-Productie normen'!$B$34:$C$35,2,FALSE),FALSE)))</f>
        <v>0</v>
      </c>
      <c r="P879" s="301" t="str">
        <f>VLOOKUP(H879,'3-Productie normen'!A:L,12,FALSE)</f>
        <v>V</v>
      </c>
      <c r="Q879" s="301"/>
      <c r="S879" s="302">
        <f t="shared" si="46"/>
        <v>0</v>
      </c>
    </row>
    <row r="880" spans="1:19" ht="14.15" customHeight="1">
      <c r="A880" s="71">
        <v>880</v>
      </c>
      <c r="B880" s="418" t="s">
        <v>218</v>
      </c>
      <c r="C880" s="467" t="s">
        <v>716</v>
      </c>
      <c r="D880" s="467" t="s">
        <v>720</v>
      </c>
      <c r="E880" s="67" t="s">
        <v>714</v>
      </c>
      <c r="F880" s="468" t="s">
        <v>445</v>
      </c>
      <c r="G880" s="67" t="s">
        <v>523</v>
      </c>
      <c r="H880" s="287" t="s">
        <v>630</v>
      </c>
      <c r="I880" s="67" t="s">
        <v>72</v>
      </c>
      <c r="J880" s="67" t="s">
        <v>200</v>
      </c>
      <c r="K880" s="67">
        <v>7.8</v>
      </c>
      <c r="L880" s="299">
        <f t="shared" si="45"/>
        <v>0</v>
      </c>
      <c r="M880" s="221" t="s">
        <v>629</v>
      </c>
      <c r="N880" s="220">
        <f>IF(OR(M880="nio",M880="eigen dienst"),0,IF(M880&gt;0,M880*K880/O880,0))*VLOOKUP(B880,'2-Kosten per locatie'!$A$14:$C$33,3,FALSE)</f>
        <v>0</v>
      </c>
      <c r="O880" s="300">
        <f>IF(OR(M880="nio",M880="eigen dienst"),0,IF(M880&gt;0,VLOOKUP(H880,'3-Productie normen'!A:J,VLOOKUP(M880,'3-Productie normen'!$B$34:$C$35,2,FALSE),FALSE)))</f>
        <v>0</v>
      </c>
      <c r="P880" s="301">
        <f>VLOOKUP(H880,'3-Productie normen'!A:L,12,FALSE)</f>
        <v>0</v>
      </c>
      <c r="Q880" s="301"/>
      <c r="S880" s="302">
        <f t="shared" si="46"/>
        <v>0</v>
      </c>
    </row>
    <row r="881" spans="1:19" ht="14.15" customHeight="1">
      <c r="A881" s="71">
        <v>881</v>
      </c>
      <c r="B881" s="418" t="s">
        <v>218</v>
      </c>
      <c r="C881" s="467" t="s">
        <v>716</v>
      </c>
      <c r="D881" s="467" t="s">
        <v>720</v>
      </c>
      <c r="E881" s="67" t="s">
        <v>714</v>
      </c>
      <c r="F881" s="468" t="s">
        <v>446</v>
      </c>
      <c r="G881" s="67" t="s">
        <v>518</v>
      </c>
      <c r="H881" s="287" t="s">
        <v>630</v>
      </c>
      <c r="I881" s="67" t="s">
        <v>705</v>
      </c>
      <c r="J881" s="67" t="s">
        <v>200</v>
      </c>
      <c r="K881" s="67">
        <v>5</v>
      </c>
      <c r="L881" s="299">
        <f t="shared" si="45"/>
        <v>0</v>
      </c>
      <c r="M881" s="221" t="s">
        <v>629</v>
      </c>
      <c r="N881" s="220">
        <f>IF(OR(M881="nio",M881="eigen dienst"),0,IF(M881&gt;0,M881*K881/O881,0))*VLOOKUP(B881,'2-Kosten per locatie'!$A$14:$C$33,3,FALSE)</f>
        <v>0</v>
      </c>
      <c r="O881" s="300">
        <f>IF(OR(M881="nio",M881="eigen dienst"),0,IF(M881&gt;0,VLOOKUP(H881,'3-Productie normen'!A:J,VLOOKUP(M881,'3-Productie normen'!$B$34:$C$35,2,FALSE),FALSE)))</f>
        <v>0</v>
      </c>
      <c r="P881" s="301">
        <f>VLOOKUP(H881,'3-Productie normen'!A:L,12,FALSE)</f>
        <v>0</v>
      </c>
      <c r="Q881" s="301"/>
      <c r="S881" s="302">
        <f t="shared" si="46"/>
        <v>0</v>
      </c>
    </row>
    <row r="882" spans="1:19" ht="14.15" customHeight="1">
      <c r="A882" s="71">
        <v>882</v>
      </c>
      <c r="B882" s="418" t="s">
        <v>218</v>
      </c>
      <c r="C882" s="467" t="s">
        <v>716</v>
      </c>
      <c r="D882" s="467" t="s">
        <v>720</v>
      </c>
      <c r="E882" s="67" t="s">
        <v>714</v>
      </c>
      <c r="F882" s="468" t="s">
        <v>447</v>
      </c>
      <c r="G882" s="67" t="s">
        <v>536</v>
      </c>
      <c r="H882" s="287" t="s">
        <v>39</v>
      </c>
      <c r="I882" s="67" t="s">
        <v>705</v>
      </c>
      <c r="J882" s="67" t="s">
        <v>200</v>
      </c>
      <c r="K882" s="67">
        <v>5.2</v>
      </c>
      <c r="L882" s="299">
        <f t="shared" si="45"/>
        <v>0</v>
      </c>
      <c r="M882" s="221" t="s">
        <v>631</v>
      </c>
      <c r="N882" s="220">
        <f>IF(OR(M882="nio",M882="eigen dienst"),0,IF(M882&gt;0,M882*K882/O882,0))*VLOOKUP(B882,'2-Kosten per locatie'!$A$14:$C$33,3,FALSE)</f>
        <v>0</v>
      </c>
      <c r="O882" s="300">
        <f>IF(OR(M882="nio",M882="eigen dienst"),0,IF(M882&gt;0,VLOOKUP(H882,'3-Productie normen'!A:J,VLOOKUP(M882,'3-Productie normen'!$B$34:$C$35,2,FALSE),FALSE)))</f>
        <v>0</v>
      </c>
      <c r="P882" s="301" t="str">
        <f>VLOOKUP(H882,'3-Productie normen'!A:L,12,FALSE)</f>
        <v>V</v>
      </c>
      <c r="Q882" s="301"/>
      <c r="S882" s="302">
        <f t="shared" si="46"/>
        <v>0</v>
      </c>
    </row>
    <row r="883" spans="1:19" ht="14.15" customHeight="1">
      <c r="A883" s="71">
        <v>883</v>
      </c>
      <c r="B883" s="418" t="s">
        <v>218</v>
      </c>
      <c r="C883" s="467" t="s">
        <v>716</v>
      </c>
      <c r="D883" s="467" t="s">
        <v>720</v>
      </c>
      <c r="E883" s="67" t="s">
        <v>714</v>
      </c>
      <c r="F883" s="468" t="s">
        <v>448</v>
      </c>
      <c r="G883" s="67" t="s">
        <v>514</v>
      </c>
      <c r="H883" s="67" t="s">
        <v>37</v>
      </c>
      <c r="I883" s="67" t="s">
        <v>601</v>
      </c>
      <c r="J883" s="67" t="s">
        <v>179</v>
      </c>
      <c r="K883" s="67">
        <v>7.8</v>
      </c>
      <c r="L883" s="299">
        <f t="shared" si="45"/>
        <v>0</v>
      </c>
      <c r="M883" s="221" t="s">
        <v>631</v>
      </c>
      <c r="N883" s="220">
        <f>IF(OR(M883="nio",M883="eigen dienst"),0,IF(M883&gt;0,M883*K883/O883,0))*VLOOKUP(B883,'2-Kosten per locatie'!$A$14:$C$33,3,FALSE)</f>
        <v>0</v>
      </c>
      <c r="O883" s="300">
        <f>IF(OR(M883="nio",M883="eigen dienst"),0,IF(M883&gt;0,VLOOKUP(H883,'3-Productie normen'!A:J,VLOOKUP(M883,'3-Productie normen'!$B$34:$C$35,2,FALSE),FALSE)))</f>
        <v>0</v>
      </c>
      <c r="P883" s="301" t="str">
        <f>VLOOKUP(H883,'3-Productie normen'!A:L,12,FALSE)</f>
        <v>S</v>
      </c>
      <c r="Q883" s="301"/>
      <c r="S883" s="302">
        <f t="shared" si="46"/>
        <v>0</v>
      </c>
    </row>
    <row r="884" spans="1:19" ht="14.15" customHeight="1">
      <c r="A884" s="71">
        <v>884</v>
      </c>
      <c r="B884" s="418" t="s">
        <v>218</v>
      </c>
      <c r="C884" s="467" t="s">
        <v>716</v>
      </c>
      <c r="D884" s="467" t="s">
        <v>720</v>
      </c>
      <c r="E884" s="67" t="s">
        <v>714</v>
      </c>
      <c r="F884" s="468" t="s">
        <v>449</v>
      </c>
      <c r="G884" s="67" t="s">
        <v>514</v>
      </c>
      <c r="H884" s="67" t="s">
        <v>37</v>
      </c>
      <c r="I884" s="67" t="s">
        <v>601</v>
      </c>
      <c r="J884" s="67" t="s">
        <v>179</v>
      </c>
      <c r="K884" s="67">
        <v>7.8</v>
      </c>
      <c r="L884" s="299">
        <f t="shared" si="45"/>
        <v>0</v>
      </c>
      <c r="M884" s="221" t="s">
        <v>631</v>
      </c>
      <c r="N884" s="220">
        <f>IF(OR(M884="nio",M884="eigen dienst"),0,IF(M884&gt;0,M884*K884/O884,0))*VLOOKUP(B884,'2-Kosten per locatie'!$A$14:$C$33,3,FALSE)</f>
        <v>0</v>
      </c>
      <c r="O884" s="300">
        <f>IF(OR(M884="nio",M884="eigen dienst"),0,IF(M884&gt;0,VLOOKUP(H884,'3-Productie normen'!A:J,VLOOKUP(M884,'3-Productie normen'!$B$34:$C$35,2,FALSE),FALSE)))</f>
        <v>0</v>
      </c>
      <c r="P884" s="301" t="str">
        <f>VLOOKUP(H884,'3-Productie normen'!A:L,12,FALSE)</f>
        <v>S</v>
      </c>
      <c r="Q884" s="301"/>
      <c r="S884" s="302">
        <f t="shared" si="46"/>
        <v>0</v>
      </c>
    </row>
    <row r="885" spans="1:19" ht="14.15" customHeight="1">
      <c r="A885" s="71">
        <v>885</v>
      </c>
      <c r="B885" s="418" t="s">
        <v>218</v>
      </c>
      <c r="C885" s="467" t="s">
        <v>716</v>
      </c>
      <c r="D885" s="467" t="s">
        <v>720</v>
      </c>
      <c r="E885" s="67" t="s">
        <v>714</v>
      </c>
      <c r="F885" s="468" t="s">
        <v>450</v>
      </c>
      <c r="G885" s="67" t="s">
        <v>536</v>
      </c>
      <c r="H885" s="287" t="s">
        <v>39</v>
      </c>
      <c r="I885" s="67" t="s">
        <v>705</v>
      </c>
      <c r="J885" s="67" t="s">
        <v>200</v>
      </c>
      <c r="K885" s="67">
        <v>11</v>
      </c>
      <c r="L885" s="299">
        <f t="shared" si="45"/>
        <v>0</v>
      </c>
      <c r="M885" s="221" t="s">
        <v>631</v>
      </c>
      <c r="N885" s="220">
        <f>IF(OR(M885="nio",M885="eigen dienst"),0,IF(M885&gt;0,M885*K885/O885,0))*VLOOKUP(B885,'2-Kosten per locatie'!$A$14:$C$33,3,FALSE)</f>
        <v>0</v>
      </c>
      <c r="O885" s="300">
        <f>IF(OR(M885="nio",M885="eigen dienst"),0,IF(M885&gt;0,VLOOKUP(H885,'3-Productie normen'!A:J,VLOOKUP(M885,'3-Productie normen'!$B$34:$C$35,2,FALSE),FALSE)))</f>
        <v>0</v>
      </c>
      <c r="P885" s="301" t="str">
        <f>VLOOKUP(H885,'3-Productie normen'!A:L,12,FALSE)</f>
        <v>V</v>
      </c>
      <c r="Q885" s="301"/>
      <c r="S885" s="302">
        <f t="shared" si="46"/>
        <v>0</v>
      </c>
    </row>
    <row r="886" spans="1:19" ht="14.15" customHeight="1">
      <c r="A886" s="71">
        <v>886</v>
      </c>
      <c r="B886" s="418" t="s">
        <v>218</v>
      </c>
      <c r="C886" s="467" t="s">
        <v>716</v>
      </c>
      <c r="D886" s="467" t="s">
        <v>720</v>
      </c>
      <c r="E886" s="67" t="s">
        <v>714</v>
      </c>
      <c r="F886" s="468" t="s">
        <v>451</v>
      </c>
      <c r="G886" s="67" t="s">
        <v>566</v>
      </c>
      <c r="H886" s="287" t="s">
        <v>48</v>
      </c>
      <c r="I886" s="67" t="s">
        <v>704</v>
      </c>
      <c r="J886" s="67" t="s">
        <v>200</v>
      </c>
      <c r="K886" s="67">
        <v>7.3</v>
      </c>
      <c r="L886" s="299">
        <f t="shared" si="45"/>
        <v>0</v>
      </c>
      <c r="M886" s="221" t="s">
        <v>631</v>
      </c>
      <c r="N886" s="431">
        <f>IF(OR(M886="nio",M886="eigen dienst"),0,IF(M886&gt;0,M886*K886/O886,0))*VLOOKUP(B886,'2-Kosten per locatie'!$A$14:$C$33,3,FALSE)</f>
        <v>0</v>
      </c>
      <c r="O886" s="300">
        <f>IF(OR(M886="nio",M886="eigen dienst"),0,IF(M886&gt;0,VLOOKUP(H886,'3-Productie normen'!A:J,VLOOKUP(M886,'3-Productie normen'!$B$34:$C$35,2,FALSE),FALSE)))</f>
        <v>0</v>
      </c>
      <c r="P886" s="301" t="str">
        <f>VLOOKUP(H886,'3-Productie normen'!A:L,12,FALSE)</f>
        <v>V</v>
      </c>
      <c r="Q886" s="301"/>
      <c r="S886" s="302">
        <f t="shared" si="46"/>
        <v>0</v>
      </c>
    </row>
    <row r="887" spans="1:19" ht="14.15" customHeight="1">
      <c r="A887" s="71">
        <v>887</v>
      </c>
      <c r="B887" s="418" t="s">
        <v>218</v>
      </c>
      <c r="C887" s="467" t="s">
        <v>716</v>
      </c>
      <c r="D887" s="467" t="s">
        <v>720</v>
      </c>
      <c r="E887" s="67" t="s">
        <v>714</v>
      </c>
      <c r="F887" s="468" t="s">
        <v>308</v>
      </c>
      <c r="G887" s="67" t="s">
        <v>515</v>
      </c>
      <c r="H887" s="67" t="s">
        <v>609</v>
      </c>
      <c r="I887" s="67" t="s">
        <v>705</v>
      </c>
      <c r="J887" s="67" t="s">
        <v>200</v>
      </c>
      <c r="K887" s="67">
        <v>53.2</v>
      </c>
      <c r="L887" s="299">
        <f t="shared" si="45"/>
        <v>0</v>
      </c>
      <c r="M887" s="221" t="s">
        <v>631</v>
      </c>
      <c r="N887" s="431">
        <f>IF(OR(M887="nio",M887="eigen dienst"),0,IF(M887&gt;0,M887*K887/O887,0))*VLOOKUP(B887,'2-Kosten per locatie'!$A$14:$C$33,3,FALSE)</f>
        <v>0</v>
      </c>
      <c r="O887" s="300">
        <f>IF(OR(M887="nio",M887="eigen dienst"),0,IF(M887&gt;0,VLOOKUP(H887,'3-Productie normen'!A:J,VLOOKUP(M887,'3-Productie normen'!$B$34:$C$35,2,FALSE),FALSE)))</f>
        <v>0</v>
      </c>
      <c r="P887" s="301" t="str">
        <f>VLOOKUP(H887,'3-Productie normen'!A:L,12,FALSE)</f>
        <v>L</v>
      </c>
      <c r="Q887" s="301"/>
      <c r="S887" s="302">
        <f t="shared" ref="S887:S890" si="47">L887*K887</f>
        <v>0</v>
      </c>
    </row>
    <row r="888" spans="1:19" ht="14.15" customHeight="1">
      <c r="A888" s="71">
        <v>888</v>
      </c>
      <c r="B888" s="418" t="s">
        <v>218</v>
      </c>
      <c r="C888" s="467" t="s">
        <v>716</v>
      </c>
      <c r="D888" s="467" t="s">
        <v>720</v>
      </c>
      <c r="E888" s="67" t="s">
        <v>714</v>
      </c>
      <c r="F888" s="468" t="s">
        <v>309</v>
      </c>
      <c r="G888" s="67" t="s">
        <v>515</v>
      </c>
      <c r="H888" s="67" t="s">
        <v>609</v>
      </c>
      <c r="I888" s="67" t="s">
        <v>705</v>
      </c>
      <c r="J888" s="67" t="s">
        <v>200</v>
      </c>
      <c r="K888" s="67">
        <v>53.2</v>
      </c>
      <c r="L888" s="299">
        <f t="shared" si="45"/>
        <v>0</v>
      </c>
      <c r="M888" s="221" t="s">
        <v>631</v>
      </c>
      <c r="N888" s="431">
        <f>IF(OR(M888="nio",M888="eigen dienst"),0,IF(M888&gt;0,M888*K888/O888,0))*VLOOKUP(B888,'2-Kosten per locatie'!$A$14:$C$33,3,FALSE)</f>
        <v>0</v>
      </c>
      <c r="O888" s="300">
        <f>IF(OR(M888="nio",M888="eigen dienst"),0,IF(M888&gt;0,VLOOKUP(H888,'3-Productie normen'!A:J,VLOOKUP(M888,'3-Productie normen'!$B$34:$C$35,2,FALSE),FALSE)))</f>
        <v>0</v>
      </c>
      <c r="P888" s="301" t="str">
        <f>VLOOKUP(H888,'3-Productie normen'!A:L,12,FALSE)</f>
        <v>L</v>
      </c>
      <c r="Q888" s="301"/>
      <c r="S888" s="302">
        <f t="shared" si="47"/>
        <v>0</v>
      </c>
    </row>
    <row r="889" spans="1:19" ht="14.15" customHeight="1">
      <c r="A889" s="71">
        <v>889</v>
      </c>
      <c r="B889" s="418" t="s">
        <v>218</v>
      </c>
      <c r="C889" s="467" t="s">
        <v>716</v>
      </c>
      <c r="D889" s="467" t="s">
        <v>720</v>
      </c>
      <c r="E889" s="67" t="s">
        <v>714</v>
      </c>
      <c r="F889" s="468" t="s">
        <v>310</v>
      </c>
      <c r="G889" s="67" t="s">
        <v>515</v>
      </c>
      <c r="H889" s="67" t="s">
        <v>609</v>
      </c>
      <c r="I889" s="67" t="s">
        <v>705</v>
      </c>
      <c r="J889" s="67" t="s">
        <v>200</v>
      </c>
      <c r="K889" s="67">
        <v>53.2</v>
      </c>
      <c r="L889" s="299">
        <f t="shared" si="45"/>
        <v>0</v>
      </c>
      <c r="M889" s="221" t="s">
        <v>631</v>
      </c>
      <c r="N889" s="431">
        <f>IF(OR(M889="nio",M889="eigen dienst"),0,IF(M889&gt;0,M889*K889/O889,0))*VLOOKUP(B889,'2-Kosten per locatie'!$A$14:$C$33,3,FALSE)</f>
        <v>0</v>
      </c>
      <c r="O889" s="300">
        <f>IF(OR(M889="nio",M889="eigen dienst"),0,IF(M889&gt;0,VLOOKUP(H889,'3-Productie normen'!A:J,VLOOKUP(M889,'3-Productie normen'!$B$34:$C$35,2,FALSE),FALSE)))</f>
        <v>0</v>
      </c>
      <c r="P889" s="301" t="str">
        <f>VLOOKUP(H889,'3-Productie normen'!A:L,12,FALSE)</f>
        <v>L</v>
      </c>
      <c r="Q889" s="301"/>
      <c r="S889" s="302">
        <f t="shared" si="47"/>
        <v>0</v>
      </c>
    </row>
    <row r="890" spans="1:19" ht="14.15" customHeight="1">
      <c r="A890" s="71">
        <v>890</v>
      </c>
      <c r="B890" s="418" t="s">
        <v>218</v>
      </c>
      <c r="C890" s="467" t="s">
        <v>716</v>
      </c>
      <c r="D890" s="467" t="s">
        <v>720</v>
      </c>
      <c r="E890" s="67" t="s">
        <v>714</v>
      </c>
      <c r="F890" s="468" t="s">
        <v>311</v>
      </c>
      <c r="G890" s="67" t="s">
        <v>515</v>
      </c>
      <c r="H890" s="67" t="s">
        <v>609</v>
      </c>
      <c r="I890" s="67" t="s">
        <v>705</v>
      </c>
      <c r="J890" s="67" t="s">
        <v>200</v>
      </c>
      <c r="K890" s="67">
        <v>53.2</v>
      </c>
      <c r="L890" s="299">
        <f t="shared" si="45"/>
        <v>0</v>
      </c>
      <c r="M890" s="221" t="s">
        <v>631</v>
      </c>
      <c r="N890" s="431">
        <f>IF(OR(M890="nio",M890="eigen dienst"),0,IF(M890&gt;0,M890*K890/O890,0))*VLOOKUP(B890,'2-Kosten per locatie'!$A$14:$C$33,3,FALSE)</f>
        <v>0</v>
      </c>
      <c r="O890" s="300">
        <f>IF(OR(M890="nio",M890="eigen dienst"),0,IF(M890&gt;0,VLOOKUP(H890,'3-Productie normen'!A:J,VLOOKUP(M890,'3-Productie normen'!$B$34:$C$35,2,FALSE),FALSE)))</f>
        <v>0</v>
      </c>
      <c r="P890" s="301" t="str">
        <f>VLOOKUP(H890,'3-Productie normen'!A:L,12,FALSE)</f>
        <v>L</v>
      </c>
      <c r="Q890" s="301"/>
      <c r="S890" s="302">
        <f t="shared" si="47"/>
        <v>0</v>
      </c>
    </row>
  </sheetData>
  <autoFilter ref="B9:S890" xr:uid="{00000000-0009-0000-0000-000004000000}">
    <sortState xmlns:xlrd2="http://schemas.microsoft.com/office/spreadsheetml/2017/richdata2" ref="B10:S886">
      <sortCondition ref="B9:B886"/>
    </sortState>
  </autoFilter>
  <phoneticPr fontId="10"/>
  <printOptions horizontalCentered="1" gridLinesSet="0"/>
  <pageMargins left="0.19685039370078741" right="0.19685039370078741" top="0.59055118110236227" bottom="0.78740157480314965" header="0.39370078740157483" footer="0.19685039370078741"/>
  <pageSetup paperSize="9" scale="42" fitToHeight="0" orientation="landscape" r:id="rId1"/>
  <headerFooter alignWithMargins="0">
    <oddFooter>&amp;L&amp;"Georgia,Standaard"&amp;11&amp;F-&amp;A&amp;R&amp;"Georgia,Standaard"printversie &amp;D</oddFooter>
  </headerFooter>
  <rowBreaks count="4" manualBreakCount="4">
    <brk id="24" min="1" max="18" man="1"/>
    <brk id="84" min="1" max="18" man="1"/>
    <brk id="142" min="1" max="18" man="1"/>
    <brk id="193" min="1"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sheetViews>
  <sheetFormatPr defaultColWidth="9.26953125" defaultRowHeight="13"/>
  <cols>
    <col min="1" max="1" width="45.54296875" style="56" customWidth="1"/>
    <col min="2" max="2" width="18.26953125" style="56" customWidth="1"/>
    <col min="3" max="3" width="18.453125" style="56" customWidth="1"/>
    <col min="4" max="4" width="10.7265625" style="2" customWidth="1"/>
    <col min="5" max="5" width="11.1796875" style="2" customWidth="1"/>
    <col min="6" max="6" width="2.1796875" style="2" customWidth="1"/>
    <col min="7" max="7" width="7.81640625" style="2" customWidth="1"/>
    <col min="8" max="8" width="27" style="2" bestFit="1" customWidth="1"/>
    <col min="9" max="16384" width="9.26953125" style="2"/>
  </cols>
  <sheetData>
    <row r="1" spans="1:8">
      <c r="A1" s="406" t="s">
        <v>4</v>
      </c>
      <c r="B1" s="82"/>
      <c r="C1" s="83"/>
      <c r="D1" s="1"/>
      <c r="E1" s="1"/>
      <c r="F1" s="1"/>
      <c r="G1" s="1"/>
    </row>
    <row r="2" spans="1:8">
      <c r="A2" s="83"/>
      <c r="B2" s="83"/>
      <c r="C2" s="83"/>
      <c r="D2" s="1"/>
      <c r="E2" s="1"/>
      <c r="F2" s="1"/>
      <c r="G2" s="1"/>
    </row>
    <row r="3" spans="1:8" ht="15.5">
      <c r="A3" s="37" t="str">
        <f>'2-Kosten per locatie'!A3</f>
        <v>Naam opdrachtgever</v>
      </c>
      <c r="B3" s="46" t="str">
        <f>'2-Kosten per locatie'!B3</f>
        <v>Zaan Primair</v>
      </c>
      <c r="C3" s="83"/>
      <c r="D3" s="1"/>
      <c r="E3" s="29"/>
      <c r="F3" s="1"/>
      <c r="G3" s="1"/>
    </row>
    <row r="4" spans="1:8" ht="15.5">
      <c r="A4" s="37" t="str">
        <f>'2-Kosten per locatie'!A4</f>
        <v>Calculatie onderdeel</v>
      </c>
      <c r="B4" s="46" t="str">
        <f ca="1">MID(CELL("bestandsnaam",$C$9),SEARCH("]",CELL("bestandsnaam",$C$9),1)+1,256)</f>
        <v>5-Premies en opslagen</v>
      </c>
      <c r="C4" s="84"/>
      <c r="D4" s="14"/>
      <c r="E4" s="4"/>
      <c r="F4" s="4"/>
      <c r="G4" s="4"/>
    </row>
    <row r="5" spans="1:8" ht="15.5">
      <c r="A5" s="37" t="str">
        <f>'2-Kosten per locatie'!A5</f>
        <v>Gebouw/plaats</v>
      </c>
      <c r="B5" s="46" t="str">
        <f>'2-Kosten per locatie'!B5</f>
        <v>Divers</v>
      </c>
      <c r="C5" s="37"/>
      <c r="D5" s="8"/>
      <c r="E5" s="15"/>
      <c r="F5" s="5"/>
      <c r="G5" s="4"/>
    </row>
    <row r="6" spans="1:8" ht="15.5">
      <c r="A6" s="37" t="str">
        <f>'2-Kosten per locatie'!A6</f>
        <v>Referentie nummer</v>
      </c>
      <c r="B6" s="46" t="str">
        <f>'2-Kosten per locatie'!B6</f>
        <v>Perceel 1 (Noordelijk gebied)</v>
      </c>
      <c r="C6" s="73"/>
      <c r="D6" s="8"/>
      <c r="E6" s="31"/>
      <c r="F6" s="30"/>
      <c r="G6" s="32"/>
      <c r="H6" s="33"/>
    </row>
    <row r="7" spans="1:8" ht="15.5">
      <c r="A7" s="37" t="str">
        <f>'2-Kosten per locatie'!A7</f>
        <v>Naam dienstverlener</v>
      </c>
      <c r="B7" s="46">
        <f>'2-Kosten per locatie'!B7</f>
        <v>0</v>
      </c>
      <c r="C7" s="73"/>
      <c r="D7" s="8"/>
      <c r="E7" s="15"/>
      <c r="F7" s="5"/>
      <c r="G7" s="4"/>
    </row>
    <row r="8" spans="1:8" ht="15.5">
      <c r="A8" s="37" t="str">
        <f>'2-Kosten per locatie'!A8</f>
        <v>Prijspeil</v>
      </c>
      <c r="B8" s="222">
        <f>'2-Kosten per locatie'!B8</f>
        <v>46388</v>
      </c>
      <c r="C8" s="85"/>
      <c r="D8" s="15"/>
      <c r="E8" s="15"/>
      <c r="F8" s="5"/>
      <c r="G8" s="4"/>
    </row>
    <row r="9" spans="1:8" ht="18">
      <c r="A9" s="178"/>
      <c r="B9" s="85"/>
      <c r="C9" s="85"/>
      <c r="D9" s="15"/>
      <c r="E9" s="15"/>
      <c r="F9" s="5"/>
      <c r="G9" s="4"/>
    </row>
    <row r="10" spans="1:8" ht="22">
      <c r="A10" s="304" t="s">
        <v>73</v>
      </c>
      <c r="B10" s="305"/>
      <c r="C10" s="306"/>
      <c r="D10" s="15"/>
      <c r="E10" s="15"/>
      <c r="F10" s="5"/>
      <c r="G10" s="4"/>
    </row>
    <row r="11" spans="1:8">
      <c r="A11" s="86"/>
      <c r="B11" s="87"/>
      <c r="C11" s="87"/>
      <c r="D11" s="15"/>
      <c r="E11" s="15"/>
      <c r="F11" s="4"/>
      <c r="G11" s="4"/>
    </row>
    <row r="12" spans="1:8">
      <c r="A12" s="307"/>
      <c r="B12" s="303"/>
      <c r="C12" s="308" t="s">
        <v>74</v>
      </c>
      <c r="D12" s="15"/>
      <c r="E12" s="15"/>
      <c r="F12" s="5"/>
      <c r="G12" s="4"/>
    </row>
    <row r="13" spans="1:8">
      <c r="A13" s="88" t="s">
        <v>75</v>
      </c>
      <c r="B13" s="303"/>
      <c r="C13" s="223"/>
      <c r="D13" s="15"/>
      <c r="E13" s="15"/>
      <c r="F13" s="16"/>
      <c r="G13" s="4"/>
    </row>
    <row r="14" spans="1:8">
      <c r="A14" s="88" t="s">
        <v>76</v>
      </c>
      <c r="B14" s="303"/>
      <c r="C14" s="223"/>
      <c r="D14" s="15"/>
      <c r="E14" s="15"/>
      <c r="F14" s="16"/>
      <c r="G14" s="4"/>
    </row>
    <row r="15" spans="1:8">
      <c r="A15" s="88" t="s">
        <v>77</v>
      </c>
      <c r="B15" s="303"/>
      <c r="C15" s="223"/>
      <c r="D15" s="15"/>
      <c r="E15" s="15"/>
      <c r="F15" s="16"/>
      <c r="G15" s="4"/>
    </row>
    <row r="16" spans="1:8">
      <c r="A16" s="309" t="s">
        <v>22</v>
      </c>
      <c r="B16" s="310"/>
      <c r="C16" s="311">
        <f>SUM(C13:C15)</f>
        <v>0</v>
      </c>
      <c r="D16" s="15"/>
      <c r="E16" s="15"/>
      <c r="F16" s="4"/>
    </row>
    <row r="17" spans="1:7">
      <c r="A17" s="309"/>
      <c r="B17" s="310"/>
      <c r="C17" s="311"/>
      <c r="D17" s="15"/>
      <c r="E17" s="15"/>
      <c r="F17" s="4"/>
    </row>
    <row r="18" spans="1:7">
      <c r="A18" s="495" t="s">
        <v>78</v>
      </c>
      <c r="B18" s="496"/>
      <c r="C18" s="223"/>
      <c r="D18" s="15"/>
      <c r="E18" s="15"/>
      <c r="F18" s="4"/>
    </row>
    <row r="19" spans="1:7">
      <c r="A19" s="88" t="s">
        <v>79</v>
      </c>
      <c r="B19" s="89"/>
      <c r="C19" s="223"/>
      <c r="D19" s="15"/>
      <c r="E19" s="15"/>
      <c r="F19" s="4"/>
    </row>
    <row r="20" spans="1:7">
      <c r="A20" s="495" t="s">
        <v>80</v>
      </c>
      <c r="B20" s="496"/>
      <c r="C20" s="223"/>
      <c r="D20" s="15"/>
      <c r="E20" s="15"/>
      <c r="F20" s="4"/>
    </row>
    <row r="21" spans="1:7">
      <c r="A21" s="495" t="s">
        <v>81</v>
      </c>
      <c r="B21" s="496"/>
      <c r="C21" s="312" t="e">
        <f>C34</f>
        <v>#DIV/0!</v>
      </c>
      <c r="D21" s="15"/>
      <c r="E21" s="15"/>
      <c r="F21" s="4"/>
    </row>
    <row r="22" spans="1:7">
      <c r="A22" s="495" t="s">
        <v>82</v>
      </c>
      <c r="B22" s="496"/>
      <c r="C22" s="223"/>
      <c r="D22" s="15"/>
      <c r="E22" s="15"/>
      <c r="F22" s="4"/>
    </row>
    <row r="23" spans="1:7">
      <c r="A23" s="495" t="s">
        <v>83</v>
      </c>
      <c r="B23" s="496"/>
      <c r="C23" s="223"/>
      <c r="D23" s="15"/>
      <c r="E23" s="15"/>
      <c r="F23" s="4"/>
    </row>
    <row r="24" spans="1:7">
      <c r="A24" s="497" t="s">
        <v>84</v>
      </c>
      <c r="B24" s="498"/>
      <c r="C24" s="313" t="e">
        <f>SUM(C16:C23)</f>
        <v>#DIV/0!</v>
      </c>
      <c r="D24" s="15"/>
      <c r="E24" s="15"/>
      <c r="F24" s="4"/>
    </row>
    <row r="25" spans="1:7">
      <c r="A25" s="90"/>
      <c r="B25" s="91"/>
      <c r="C25" s="92"/>
      <c r="D25" s="15"/>
      <c r="E25" s="15"/>
      <c r="F25" s="7"/>
      <c r="G25" s="4"/>
    </row>
    <row r="26" spans="1:7" ht="22">
      <c r="A26" s="304" t="s">
        <v>85</v>
      </c>
      <c r="B26" s="305"/>
      <c r="C26" s="306"/>
      <c r="D26" s="15"/>
      <c r="E26" s="15"/>
      <c r="F26" s="5"/>
      <c r="G26" s="4"/>
    </row>
    <row r="27" spans="1:7">
      <c r="A27" s="86"/>
      <c r="B27" s="87"/>
      <c r="C27" s="87"/>
      <c r="D27" s="15"/>
      <c r="E27" s="15"/>
      <c r="F27" s="4"/>
      <c r="G27" s="4"/>
    </row>
    <row r="28" spans="1:7">
      <c r="A28" s="87"/>
      <c r="B28" s="87"/>
      <c r="C28" s="314" t="s">
        <v>86</v>
      </c>
      <c r="D28" s="15"/>
      <c r="E28" s="15"/>
      <c r="F28" s="4"/>
      <c r="G28" s="4"/>
    </row>
    <row r="29" spans="1:7">
      <c r="A29" s="88" t="s">
        <v>87</v>
      </c>
      <c r="B29" s="303"/>
      <c r="C29" s="315">
        <f>'6-Opbouw uurtarief productie'!E20</f>
        <v>0</v>
      </c>
      <c r="D29" s="15"/>
      <c r="E29" s="15"/>
      <c r="G29" s="4"/>
    </row>
    <row r="30" spans="1:7">
      <c r="A30" s="88" t="s">
        <v>88</v>
      </c>
      <c r="B30" s="93" t="s">
        <v>89</v>
      </c>
      <c r="C30" s="316"/>
      <c r="D30" s="15"/>
      <c r="E30" s="15"/>
      <c r="F30" s="5"/>
      <c r="G30" s="4"/>
    </row>
    <row r="31" spans="1:7">
      <c r="A31" s="88" t="s">
        <v>90</v>
      </c>
      <c r="B31" s="303"/>
      <c r="C31" s="224">
        <f>C29+C30</f>
        <v>0</v>
      </c>
      <c r="D31" s="15"/>
      <c r="E31" s="15"/>
      <c r="F31" s="5"/>
      <c r="G31" s="4"/>
    </row>
    <row r="32" spans="1:7">
      <c r="A32" s="317" t="s">
        <v>91</v>
      </c>
      <c r="B32" s="94"/>
      <c r="C32" s="318"/>
      <c r="E32" s="17"/>
      <c r="F32" s="5"/>
      <c r="G32" s="4"/>
    </row>
    <row r="33" spans="1:7">
      <c r="A33" s="86"/>
      <c r="B33" s="319"/>
      <c r="C33" s="225"/>
      <c r="E33" s="3"/>
      <c r="F33" s="4"/>
      <c r="G33" s="4"/>
    </row>
    <row r="34" spans="1:7">
      <c r="A34" s="320" t="s">
        <v>92</v>
      </c>
      <c r="B34" s="321"/>
      <c r="C34" s="322" t="e">
        <f>(C31/C29)*C32</f>
        <v>#DIV/0!</v>
      </c>
      <c r="E34" s="18"/>
      <c r="F34" s="5"/>
      <c r="G34" s="19"/>
    </row>
    <row r="35" spans="1:7">
      <c r="A35" s="86"/>
      <c r="B35" s="87"/>
      <c r="C35" s="87"/>
      <c r="E35" s="18"/>
      <c r="F35" s="5"/>
      <c r="G35" s="4"/>
    </row>
    <row r="36" spans="1:7" ht="22">
      <c r="A36" s="323" t="s">
        <v>93</v>
      </c>
      <c r="B36" s="324"/>
      <c r="C36" s="325"/>
      <c r="E36" s="18"/>
      <c r="F36" s="5"/>
      <c r="G36" s="4"/>
    </row>
    <row r="37" spans="1:7">
      <c r="A37" s="90"/>
      <c r="B37" s="91"/>
      <c r="C37" s="92"/>
      <c r="E37" s="18"/>
      <c r="F37" s="5"/>
      <c r="G37" s="4"/>
    </row>
    <row r="38" spans="1:7" ht="15.5">
      <c r="A38" s="90"/>
      <c r="B38" s="326" t="s">
        <v>94</v>
      </c>
      <c r="C38" s="92"/>
      <c r="E38" s="18"/>
      <c r="F38" s="5"/>
      <c r="G38" s="4"/>
    </row>
    <row r="39" spans="1:7">
      <c r="A39" s="327" t="s">
        <v>95</v>
      </c>
      <c r="B39" s="328">
        <v>365</v>
      </c>
      <c r="C39" s="92"/>
      <c r="E39" s="18"/>
      <c r="F39" s="5"/>
      <c r="G39" s="9"/>
    </row>
    <row r="40" spans="1:7">
      <c r="A40" s="327" t="s">
        <v>96</v>
      </c>
      <c r="B40" s="328">
        <v>104</v>
      </c>
      <c r="C40" s="92"/>
      <c r="E40" s="18"/>
      <c r="F40" s="5"/>
      <c r="G40" s="9"/>
    </row>
    <row r="41" spans="1:7">
      <c r="A41" s="329" t="s">
        <v>97</v>
      </c>
      <c r="B41" s="330">
        <f>B39-B40</f>
        <v>261</v>
      </c>
      <c r="C41" s="92"/>
      <c r="E41" s="18"/>
      <c r="F41" s="5"/>
      <c r="G41" s="6"/>
    </row>
    <row r="42" spans="1:7">
      <c r="A42" s="331"/>
      <c r="B42" s="332"/>
      <c r="C42" s="92"/>
      <c r="E42" s="18"/>
      <c r="F42" s="5"/>
      <c r="G42" s="6"/>
    </row>
    <row r="43" spans="1:7">
      <c r="A43" s="327" t="s">
        <v>98</v>
      </c>
      <c r="B43" s="333"/>
      <c r="C43" s="92"/>
      <c r="E43" s="18"/>
      <c r="F43" s="5"/>
      <c r="G43" s="6"/>
    </row>
    <row r="44" spans="1:7">
      <c r="A44" s="327" t="s">
        <v>99</v>
      </c>
      <c r="B44" s="333"/>
      <c r="C44" s="92"/>
      <c r="E44" s="18"/>
      <c r="F44" s="5"/>
      <c r="G44" s="6"/>
    </row>
    <row r="45" spans="1:7">
      <c r="A45" s="327" t="s">
        <v>100</v>
      </c>
      <c r="B45" s="333"/>
      <c r="C45" s="92"/>
      <c r="E45" s="18"/>
      <c r="F45" s="5"/>
      <c r="G45" s="6"/>
    </row>
    <row r="46" spans="1:7">
      <c r="A46" s="327" t="s">
        <v>101</v>
      </c>
      <c r="B46" s="333"/>
      <c r="C46" s="92"/>
      <c r="E46" s="18"/>
      <c r="F46" s="5"/>
      <c r="G46" s="6"/>
    </row>
    <row r="47" spans="1:7">
      <c r="A47" s="329" t="s">
        <v>102</v>
      </c>
      <c r="B47" s="330">
        <f>B41-SUM(B43:B46)</f>
        <v>261</v>
      </c>
      <c r="C47" s="92"/>
      <c r="E47" s="18"/>
      <c r="F47" s="5"/>
      <c r="G47" s="6"/>
    </row>
    <row r="48" spans="1:7">
      <c r="A48" s="334"/>
      <c r="B48" s="332"/>
      <c r="C48" s="92"/>
      <c r="E48" s="18"/>
      <c r="F48" s="5"/>
      <c r="G48" s="6"/>
    </row>
    <row r="49" spans="1:7">
      <c r="A49" s="335" t="s">
        <v>103</v>
      </c>
      <c r="B49" s="336">
        <f>IF(B43=0,0,B43/$B$47)</f>
        <v>0</v>
      </c>
      <c r="C49" s="92"/>
      <c r="E49" s="18"/>
      <c r="F49" s="5"/>
      <c r="G49" s="6"/>
    </row>
    <row r="50" spans="1:7">
      <c r="A50" s="335" t="s">
        <v>99</v>
      </c>
      <c r="B50" s="336">
        <f>IF(B44=0,0,B44/$B$47)</f>
        <v>0</v>
      </c>
      <c r="C50" s="92"/>
      <c r="E50" s="18"/>
      <c r="F50" s="5"/>
      <c r="G50" s="6"/>
    </row>
    <row r="51" spans="1:7">
      <c r="A51" s="327" t="s">
        <v>100</v>
      </c>
      <c r="B51" s="336">
        <f>IF(B45=0,0,B45/$B$47)</f>
        <v>0</v>
      </c>
      <c r="C51" s="92"/>
      <c r="E51" s="18"/>
      <c r="F51" s="5"/>
      <c r="G51" s="6"/>
    </row>
    <row r="52" spans="1:7">
      <c r="A52" s="335" t="s">
        <v>101</v>
      </c>
      <c r="B52" s="336">
        <f>IF(B46=0,0,B46/$B$47)</f>
        <v>0</v>
      </c>
      <c r="C52" s="92"/>
      <c r="E52" s="18"/>
      <c r="F52" s="5"/>
      <c r="G52" s="10"/>
    </row>
    <row r="53" spans="1:7">
      <c r="A53" s="329" t="s">
        <v>104</v>
      </c>
      <c r="B53" s="337">
        <f>SUM(B49:B52)</f>
        <v>0</v>
      </c>
      <c r="C53" s="92"/>
      <c r="E53" s="18"/>
      <c r="F53" s="5"/>
      <c r="G53" s="11"/>
    </row>
    <row r="54" spans="1:7">
      <c r="A54" s="95"/>
      <c r="B54" s="95"/>
      <c r="C54" s="95"/>
      <c r="E54" s="18"/>
      <c r="F54" s="5"/>
      <c r="G54" s="1"/>
    </row>
    <row r="55" spans="1:7" ht="31.15" customHeight="1">
      <c r="A55" s="492" t="s">
        <v>105</v>
      </c>
      <c r="B55" s="493"/>
      <c r="C55" s="494"/>
      <c r="E55" s="18"/>
      <c r="F55" s="5"/>
      <c r="G55" s="1"/>
    </row>
    <row r="58" spans="1:7" ht="14.5">
      <c r="A58" s="96"/>
      <c r="B58" s="97"/>
    </row>
    <row r="59" spans="1:7" ht="14.5">
      <c r="A59" s="96"/>
      <c r="B59" s="97"/>
    </row>
    <row r="60" spans="1:7" ht="14.5">
      <c r="A60" s="96"/>
      <c r="B60" s="97"/>
    </row>
    <row r="61" spans="1:7" ht="14.5">
      <c r="A61" s="96"/>
      <c r="B61" s="97"/>
    </row>
    <row r="62" spans="1:7" ht="14.5">
      <c r="A62" s="98"/>
      <c r="B62" s="97"/>
    </row>
    <row r="63" spans="1:7" ht="14.5">
      <c r="A63" s="97"/>
      <c r="B63" s="97"/>
    </row>
    <row r="64" spans="1:7" ht="14.5">
      <c r="A64" s="97"/>
      <c r="B64" s="97"/>
    </row>
    <row r="65" spans="1:3" ht="14.5">
      <c r="A65" s="97"/>
      <c r="B65" s="97"/>
    </row>
    <row r="66" spans="1:3" ht="14.5">
      <c r="A66" s="97"/>
      <c r="B66" s="97"/>
    </row>
    <row r="67" spans="1:3" ht="14.5">
      <c r="A67" s="97"/>
      <c r="B67" s="97"/>
    </row>
    <row r="68" spans="1:3" ht="14.5">
      <c r="A68" s="97"/>
      <c r="B68" s="97"/>
    </row>
    <row r="69" spans="1:3" ht="14.5">
      <c r="A69" s="97"/>
      <c r="B69" s="97"/>
    </row>
    <row r="70" spans="1:3" ht="14.5">
      <c r="A70" s="97"/>
      <c r="B70" s="99"/>
    </row>
    <row r="71" spans="1:3" ht="14.5">
      <c r="A71" s="97"/>
      <c r="B71" s="97"/>
    </row>
    <row r="72" spans="1:3" ht="14.5">
      <c r="B72" s="97"/>
    </row>
    <row r="73" spans="1:3" ht="14.5">
      <c r="A73" s="97"/>
      <c r="B73" s="97"/>
      <c r="C73" s="97"/>
    </row>
    <row r="74" spans="1:3" ht="14.5">
      <c r="A74" s="100"/>
      <c r="B74" s="97"/>
      <c r="C74" s="100"/>
    </row>
    <row r="75" spans="1:3" ht="14.5">
      <c r="A75" s="97"/>
      <c r="B75" s="97"/>
      <c r="C75" s="97"/>
    </row>
    <row r="76" spans="1:3" ht="14.5">
      <c r="A76" s="97"/>
      <c r="B76" s="97"/>
      <c r="C76" s="97"/>
    </row>
    <row r="77" spans="1:3" ht="14.5">
      <c r="A77" s="97"/>
      <c r="B77" s="97"/>
      <c r="C77" s="97"/>
    </row>
    <row r="78" spans="1:3" ht="14.5">
      <c r="A78" s="100"/>
      <c r="B78" s="97"/>
      <c r="C78" s="100"/>
    </row>
    <row r="79" spans="1:3" ht="14.5">
      <c r="A79" s="100"/>
      <c r="B79" s="97"/>
      <c r="C79" s="100"/>
    </row>
    <row r="80" spans="1:3" ht="14.5">
      <c r="A80" s="100"/>
      <c r="B80" s="97"/>
      <c r="C80" s="100"/>
    </row>
    <row r="81" spans="1:2" ht="14.5">
      <c r="A81" s="97"/>
      <c r="B81" s="97"/>
    </row>
    <row r="82" spans="1:2" ht="14.5">
      <c r="A82" s="97"/>
      <c r="B82" s="97"/>
    </row>
    <row r="83" spans="1:2" ht="14.5">
      <c r="A83" s="97"/>
      <c r="B83" s="97"/>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&amp;L&amp;"Georgia,Standaard"&amp;F-&amp;A&amp;R&amp;"Georgia,Standaard"printversie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D72"/>
  <sheetViews>
    <sheetView showGridLines="0" showZeros="0" showOutlineSymbols="0" zoomScale="90" zoomScaleNormal="90" zoomScalePageLayoutView="50" workbookViewId="0"/>
  </sheetViews>
  <sheetFormatPr defaultColWidth="11.453125" defaultRowHeight="13"/>
  <cols>
    <col min="1" max="1" width="35.81640625" style="56" customWidth="1"/>
    <col min="2" max="2" width="21.7265625" style="56" customWidth="1"/>
    <col min="3" max="3" width="19.26953125" style="56" bestFit="1" customWidth="1"/>
    <col min="4" max="4" width="2" style="56" customWidth="1"/>
    <col min="5" max="5" width="14.453125" style="56" customWidth="1"/>
    <col min="6" max="6" width="12.26953125" style="56" customWidth="1"/>
    <col min="7" max="7" width="9.81640625" style="56" customWidth="1"/>
    <col min="8" max="8" width="27.54296875" style="56" customWidth="1"/>
    <col min="9" max="15" width="11.453125" style="56"/>
    <col min="16" max="16" width="14" style="56" customWidth="1"/>
    <col min="17" max="17" width="11.453125" style="56"/>
    <col min="18" max="18" width="13.453125" style="56" customWidth="1"/>
    <col min="19" max="21" width="11.453125" style="56"/>
    <col min="22" max="16384" width="11.453125" style="2"/>
  </cols>
  <sheetData>
    <row r="1" spans="1:30" ht="12.75" customHeight="1">
      <c r="A1" s="406" t="s">
        <v>4</v>
      </c>
      <c r="B1" s="82"/>
      <c r="C1" s="83"/>
      <c r="D1" s="83"/>
      <c r="E1" s="83"/>
      <c r="F1" s="83"/>
      <c r="H1" s="503"/>
      <c r="I1" s="503"/>
      <c r="J1" s="503"/>
      <c r="K1" s="503"/>
      <c r="L1" s="503"/>
      <c r="M1" s="503"/>
      <c r="N1" s="503"/>
      <c r="P1" s="401"/>
    </row>
    <row r="2" spans="1:30">
      <c r="A2" s="83"/>
      <c r="B2" s="101"/>
      <c r="C2" s="102"/>
      <c r="D2" s="101"/>
      <c r="E2" s="103"/>
      <c r="F2" s="104"/>
      <c r="H2" s="503"/>
      <c r="I2" s="503"/>
      <c r="J2" s="503"/>
      <c r="K2" s="503"/>
      <c r="L2" s="503"/>
      <c r="M2" s="503"/>
      <c r="N2" s="503"/>
      <c r="P2" s="401"/>
    </row>
    <row r="3" spans="1:30" ht="14.25" customHeight="1">
      <c r="A3" s="37" t="str">
        <f>'2-Kosten per locatie'!A3</f>
        <v>Naam opdrachtgever</v>
      </c>
      <c r="B3" s="105" t="str">
        <f>'2-Kosten per locatie'!B3</f>
        <v>Zaan Primair</v>
      </c>
      <c r="C3" s="106"/>
      <c r="D3" s="101"/>
      <c r="E3" s="107"/>
      <c r="F3" s="108"/>
      <c r="H3" s="503"/>
      <c r="I3" s="503"/>
      <c r="J3" s="503"/>
      <c r="K3" s="503"/>
      <c r="L3" s="503"/>
      <c r="M3" s="503"/>
      <c r="N3" s="503"/>
      <c r="P3" s="401"/>
    </row>
    <row r="4" spans="1:30" ht="15.75" customHeight="1">
      <c r="A4" s="37" t="str">
        <f>'2-Kosten per locatie'!A4</f>
        <v>Calculatie onderdeel</v>
      </c>
      <c r="B4" s="109" t="str">
        <f ca="1">MID(CELL("bestandsnaam",$C$9),SEARCH("]",CELL("bestandsnaam",$C$9),1)+1,256)</f>
        <v>6-Opbouw uurtarief productie</v>
      </c>
      <c r="C4" s="110"/>
      <c r="D4" s="111"/>
      <c r="H4" s="503"/>
      <c r="I4" s="503"/>
      <c r="J4" s="503"/>
      <c r="K4" s="503"/>
      <c r="L4" s="503"/>
      <c r="M4" s="503"/>
      <c r="N4" s="503"/>
      <c r="P4" s="401"/>
    </row>
    <row r="5" spans="1:30" ht="15.5">
      <c r="A5" s="37" t="str">
        <f>'2-Kosten per locatie'!A5</f>
        <v>Gebouw/plaats</v>
      </c>
      <c r="B5" s="105" t="str">
        <f>'2-Kosten per locatie'!B5</f>
        <v>Divers</v>
      </c>
      <c r="C5" s="110"/>
      <c r="D5" s="111"/>
      <c r="H5" s="503"/>
      <c r="I5" s="503"/>
      <c r="J5" s="503"/>
      <c r="K5" s="503"/>
      <c r="L5" s="503"/>
      <c r="M5" s="503"/>
      <c r="N5" s="503"/>
      <c r="P5" s="401"/>
    </row>
    <row r="6" spans="1:30" ht="15.5">
      <c r="A6" s="37" t="str">
        <f>'2-Kosten per locatie'!A6</f>
        <v>Referentie nummer</v>
      </c>
      <c r="B6" s="105" t="str">
        <f>'2-Kosten per locatie'!B6</f>
        <v>Perceel 1 (Noordelijk gebied)</v>
      </c>
      <c r="C6" s="110"/>
      <c r="D6" s="111"/>
      <c r="H6" s="112"/>
      <c r="I6" s="112"/>
      <c r="J6" s="112"/>
      <c r="K6" s="112"/>
      <c r="L6" s="112"/>
      <c r="M6" s="112"/>
      <c r="N6" s="112"/>
      <c r="P6" s="401"/>
    </row>
    <row r="7" spans="1:30" ht="15.5">
      <c r="A7" s="37" t="str">
        <f>'2-Kosten per locatie'!A7</f>
        <v>Naam dienstverlener</v>
      </c>
      <c r="B7" s="105">
        <f>'2-Kosten per locatie'!B7</f>
        <v>0</v>
      </c>
      <c r="C7" s="110"/>
      <c r="D7" s="111"/>
      <c r="H7" s="112"/>
      <c r="I7" s="112"/>
      <c r="J7" s="112"/>
      <c r="K7" s="112"/>
      <c r="L7" s="112"/>
      <c r="M7" s="112"/>
      <c r="N7" s="112"/>
      <c r="P7" s="401"/>
    </row>
    <row r="8" spans="1:30" ht="15.5">
      <c r="A8" s="37" t="str">
        <f>'2-Kosten per locatie'!A8</f>
        <v>Prijspeil</v>
      </c>
      <c r="B8" s="244">
        <f>'2-Kosten per locatie'!B8</f>
        <v>46388</v>
      </c>
      <c r="C8" s="110"/>
      <c r="D8" s="111"/>
      <c r="J8" s="112"/>
      <c r="K8" s="112"/>
      <c r="L8" s="112"/>
      <c r="M8" s="112"/>
      <c r="N8" s="112"/>
      <c r="O8" s="113"/>
      <c r="P8" s="401"/>
    </row>
    <row r="9" spans="1:30" ht="15.5">
      <c r="A9" s="114"/>
      <c r="B9" s="115"/>
      <c r="C9" s="116"/>
      <c r="D9" s="111"/>
      <c r="E9" s="117"/>
      <c r="F9" s="118"/>
      <c r="P9" s="401"/>
    </row>
    <row r="10" spans="1:30" s="20" customFormat="1" ht="30.75" customHeight="1">
      <c r="A10" s="181" t="s">
        <v>106</v>
      </c>
      <c r="B10" s="338"/>
      <c r="C10" s="339"/>
      <c r="D10" s="179"/>
      <c r="E10" s="501" t="s">
        <v>107</v>
      </c>
      <c r="F10" s="502"/>
      <c r="G10" s="180"/>
      <c r="H10" s="181" t="s">
        <v>108</v>
      </c>
      <c r="I10" s="499" t="s">
        <v>734</v>
      </c>
      <c r="J10" s="500"/>
      <c r="K10" s="500"/>
      <c r="L10" s="500"/>
      <c r="M10" s="500"/>
      <c r="N10" s="500"/>
      <c r="O10" s="113"/>
      <c r="P10" s="401"/>
      <c r="Q10" s="56"/>
      <c r="R10" s="56"/>
      <c r="S10" s="56"/>
      <c r="T10" s="56"/>
      <c r="U10" s="56"/>
      <c r="V10" s="2"/>
    </row>
    <row r="11" spans="1:30" ht="30" customHeight="1">
      <c r="A11" s="126"/>
      <c r="B11" s="340" t="s">
        <v>109</v>
      </c>
      <c r="C11" s="341" t="s">
        <v>109</v>
      </c>
      <c r="D11" s="111"/>
      <c r="E11" s="226"/>
      <c r="F11" s="342"/>
      <c r="H11" s="126"/>
      <c r="I11" s="247">
        <v>1</v>
      </c>
      <c r="J11" s="247">
        <v>2</v>
      </c>
      <c r="K11" s="247">
        <v>3</v>
      </c>
      <c r="L11" s="247">
        <v>4</v>
      </c>
      <c r="M11" s="247">
        <v>5</v>
      </c>
      <c r="N11" s="247">
        <v>6</v>
      </c>
      <c r="P11" s="402"/>
    </row>
    <row r="12" spans="1:30">
      <c r="A12" s="126" t="s">
        <v>110</v>
      </c>
      <c r="B12" s="343" t="s">
        <v>111</v>
      </c>
      <c r="C12" s="344"/>
      <c r="D12" s="111"/>
      <c r="E12" s="227">
        <f>SUM(I40:N40)</f>
        <v>0</v>
      </c>
      <c r="F12" s="228"/>
      <c r="H12" s="126" t="s">
        <v>112</v>
      </c>
      <c r="I12" s="248"/>
      <c r="J12" s="248"/>
      <c r="K12" s="248"/>
      <c r="L12" s="248"/>
      <c r="M12" s="248"/>
      <c r="N12" s="248"/>
      <c r="P12" s="403"/>
      <c r="W12" s="400"/>
      <c r="X12" s="400"/>
      <c r="Y12" s="400"/>
      <c r="Z12" s="400"/>
      <c r="AA12" s="400"/>
      <c r="AB12" s="400"/>
      <c r="AC12" s="400"/>
      <c r="AD12" s="400"/>
    </row>
    <row r="13" spans="1:30">
      <c r="A13" s="126" t="s">
        <v>113</v>
      </c>
      <c r="B13" s="343" t="s">
        <v>111</v>
      </c>
      <c r="C13" s="345"/>
      <c r="D13" s="111"/>
      <c r="E13" s="229"/>
      <c r="F13" s="228"/>
      <c r="H13" s="126" t="s">
        <v>114</v>
      </c>
      <c r="I13" s="248"/>
      <c r="J13" s="248"/>
      <c r="K13" s="248"/>
      <c r="L13" s="248"/>
      <c r="M13" s="248"/>
      <c r="N13" s="248"/>
      <c r="P13" s="404"/>
      <c r="W13" s="400"/>
      <c r="X13" s="400"/>
      <c r="Y13" s="400"/>
      <c r="Z13" s="400"/>
      <c r="AA13" s="400"/>
      <c r="AB13" s="400"/>
      <c r="AC13" s="400"/>
      <c r="AD13" s="400"/>
    </row>
    <row r="14" spans="1:30">
      <c r="A14" s="346" t="s">
        <v>116</v>
      </c>
      <c r="B14" s="347"/>
      <c r="C14" s="348"/>
      <c r="D14" s="123"/>
      <c r="E14" s="230">
        <f>SUM(E12:E13)</f>
        <v>0</v>
      </c>
      <c r="F14" s="228"/>
      <c r="H14" s="126" t="s">
        <v>115</v>
      </c>
      <c r="I14" s="248"/>
      <c r="J14" s="248"/>
      <c r="K14" s="248"/>
      <c r="L14" s="248"/>
      <c r="M14" s="248"/>
      <c r="N14" s="248"/>
      <c r="W14" s="400"/>
      <c r="X14" s="400"/>
      <c r="Y14" s="400"/>
      <c r="Z14" s="400"/>
      <c r="AA14" s="400"/>
      <c r="AB14" s="400"/>
      <c r="AC14" s="400"/>
      <c r="AD14" s="400"/>
    </row>
    <row r="15" spans="1:30">
      <c r="A15" s="121"/>
      <c r="B15" s="349"/>
      <c r="C15" s="350"/>
      <c r="D15" s="111"/>
      <c r="E15" s="231"/>
      <c r="F15" s="228"/>
      <c r="H15" s="126" t="s">
        <v>117</v>
      </c>
      <c r="I15" s="248"/>
      <c r="J15" s="248"/>
      <c r="K15" s="248"/>
      <c r="L15" s="248"/>
      <c r="M15" s="248"/>
      <c r="N15" s="248"/>
      <c r="W15" s="400"/>
      <c r="X15" s="400"/>
      <c r="Y15" s="400"/>
      <c r="Z15" s="400"/>
      <c r="AA15" s="400"/>
      <c r="AB15" s="400"/>
      <c r="AC15" s="400"/>
      <c r="AD15" s="400"/>
    </row>
    <row r="16" spans="1:30">
      <c r="A16" s="351" t="s">
        <v>119</v>
      </c>
      <c r="B16" s="343" t="s">
        <v>111</v>
      </c>
      <c r="C16" s="352"/>
      <c r="D16" s="111"/>
      <c r="E16" s="232">
        <f>$C16*E14</f>
        <v>0</v>
      </c>
      <c r="F16" s="228"/>
      <c r="H16" s="126" t="s">
        <v>118</v>
      </c>
      <c r="I16" s="248"/>
      <c r="J16" s="248"/>
      <c r="K16" s="248"/>
      <c r="L16" s="248"/>
      <c r="M16" s="248"/>
      <c r="N16" s="248"/>
      <c r="W16" s="400"/>
      <c r="X16" s="400"/>
      <c r="Y16" s="400"/>
      <c r="Z16" s="400"/>
      <c r="AA16" s="400"/>
      <c r="AB16" s="400"/>
      <c r="AC16" s="400"/>
      <c r="AD16" s="400"/>
    </row>
    <row r="17" spans="1:30">
      <c r="A17" s="351" t="s">
        <v>121</v>
      </c>
      <c r="B17" s="343" t="s">
        <v>111</v>
      </c>
      <c r="C17" s="352"/>
      <c r="D17" s="111"/>
      <c r="E17" s="233">
        <f>$C17*E14</f>
        <v>0</v>
      </c>
      <c r="F17" s="228"/>
      <c r="H17" s="126" t="s">
        <v>120</v>
      </c>
      <c r="I17" s="248"/>
      <c r="J17" s="248"/>
      <c r="K17" s="248"/>
      <c r="L17" s="248"/>
      <c r="M17" s="248"/>
      <c r="N17" s="248"/>
      <c r="W17" s="400"/>
      <c r="X17" s="400"/>
      <c r="Y17" s="400"/>
      <c r="Z17" s="400"/>
      <c r="AA17" s="400"/>
      <c r="AB17" s="400"/>
      <c r="AC17" s="400"/>
      <c r="AD17" s="400"/>
    </row>
    <row r="18" spans="1:30">
      <c r="A18" s="346" t="s">
        <v>123</v>
      </c>
      <c r="B18" s="353"/>
      <c r="C18" s="122"/>
      <c r="D18" s="111"/>
      <c r="E18" s="230">
        <f>SUM(E14:E17)</f>
        <v>0</v>
      </c>
      <c r="F18" s="354">
        <f>IF(E18=0,0,E18/E$46)</f>
        <v>0</v>
      </c>
      <c r="H18" s="126" t="s">
        <v>122</v>
      </c>
      <c r="I18" s="248"/>
      <c r="J18" s="248"/>
      <c r="K18" s="248"/>
      <c r="L18" s="248"/>
      <c r="M18" s="248"/>
      <c r="N18" s="248"/>
      <c r="W18" s="400"/>
      <c r="X18" s="400"/>
      <c r="Y18" s="400"/>
      <c r="Z18" s="400"/>
      <c r="AA18" s="400"/>
      <c r="AB18" s="400"/>
      <c r="AC18" s="400"/>
      <c r="AD18" s="400"/>
    </row>
    <row r="19" spans="1:30">
      <c r="A19" s="121"/>
      <c r="B19" s="349"/>
      <c r="C19" s="350"/>
      <c r="D19" s="111"/>
      <c r="E19" s="231"/>
      <c r="F19" s="228"/>
      <c r="W19" s="400"/>
      <c r="X19" s="400"/>
      <c r="Y19" s="400"/>
      <c r="Z19" s="400"/>
      <c r="AA19" s="400"/>
      <c r="AB19" s="400"/>
      <c r="AC19" s="400"/>
      <c r="AD19" s="400"/>
    </row>
    <row r="20" spans="1:30" ht="14.5">
      <c r="A20" s="355" t="s">
        <v>125</v>
      </c>
      <c r="B20" s="356"/>
      <c r="C20" s="350"/>
      <c r="D20" s="124"/>
      <c r="E20" s="234">
        <f>E18*0.96</f>
        <v>0</v>
      </c>
      <c r="F20" s="235"/>
      <c r="H20" s="181" t="s">
        <v>108</v>
      </c>
      <c r="I20" s="504" t="s">
        <v>124</v>
      </c>
      <c r="J20" s="505"/>
      <c r="K20" s="505"/>
      <c r="L20" s="505"/>
      <c r="M20" s="505"/>
      <c r="N20" s="506"/>
      <c r="W20" s="400"/>
      <c r="X20" s="400"/>
      <c r="Y20" s="400"/>
      <c r="Z20" s="400"/>
      <c r="AA20" s="400"/>
      <c r="AB20" s="400"/>
      <c r="AC20" s="400"/>
      <c r="AD20" s="400"/>
    </row>
    <row r="21" spans="1:30">
      <c r="A21" s="351" t="s">
        <v>126</v>
      </c>
      <c r="B21" s="356"/>
      <c r="C21" s="357" t="s">
        <v>127</v>
      </c>
      <c r="D21" s="111"/>
      <c r="E21" s="232" t="e">
        <f>E20*'5-Premies en opslagen'!$C24</f>
        <v>#DIV/0!</v>
      </c>
      <c r="F21" s="228"/>
      <c r="G21" s="125"/>
      <c r="H21" s="126"/>
      <c r="I21" s="247">
        <v>1</v>
      </c>
      <c r="J21" s="247">
        <v>2</v>
      </c>
      <c r="K21" s="247">
        <v>3</v>
      </c>
      <c r="L21" s="247">
        <v>4</v>
      </c>
      <c r="M21" s="247">
        <v>5</v>
      </c>
      <c r="N21" s="247">
        <v>6</v>
      </c>
      <c r="O21" s="243"/>
      <c r="W21" s="400"/>
      <c r="X21" s="400"/>
      <c r="Y21" s="400"/>
      <c r="Z21" s="400"/>
      <c r="AA21" s="400"/>
      <c r="AB21" s="400"/>
      <c r="AC21" s="400"/>
      <c r="AD21" s="400"/>
    </row>
    <row r="22" spans="1:30" s="12" customFormat="1">
      <c r="A22" s="346" t="s">
        <v>128</v>
      </c>
      <c r="B22" s="359"/>
      <c r="C22" s="122"/>
      <c r="D22" s="111"/>
      <c r="E22" s="230" t="e">
        <f>E21+E18</f>
        <v>#DIV/0!</v>
      </c>
      <c r="F22" s="354" t="e">
        <f>IF(E22=0,0,E22/E$46)</f>
        <v>#DIV/0!</v>
      </c>
      <c r="G22" s="56"/>
      <c r="H22" s="126" t="s">
        <v>112</v>
      </c>
      <c r="I22" s="409"/>
      <c r="J22" s="409"/>
      <c r="K22" s="409"/>
      <c r="L22" s="409"/>
      <c r="M22" s="409"/>
      <c r="N22" s="409"/>
      <c r="O22" s="216"/>
      <c r="P22" s="56"/>
      <c r="Q22" s="56"/>
      <c r="R22" s="56"/>
      <c r="S22" s="56"/>
      <c r="T22" s="56"/>
      <c r="U22" s="56"/>
      <c r="V22" s="2"/>
      <c r="W22" s="400"/>
      <c r="X22" s="400"/>
      <c r="Y22" s="400"/>
      <c r="Z22" s="400"/>
      <c r="AA22" s="400"/>
      <c r="AB22" s="400"/>
      <c r="AC22" s="400"/>
      <c r="AD22" s="400"/>
    </row>
    <row r="23" spans="1:30" ht="14.25" customHeight="1">
      <c r="A23" s="121"/>
      <c r="B23" s="353"/>
      <c r="C23" s="122"/>
      <c r="D23" s="111"/>
      <c r="E23" s="226"/>
      <c r="F23" s="228"/>
      <c r="H23" s="126" t="s">
        <v>114</v>
      </c>
      <c r="I23" s="410"/>
      <c r="J23" s="410"/>
      <c r="K23" s="410"/>
      <c r="L23" s="409"/>
      <c r="M23" s="409"/>
      <c r="N23" s="409"/>
      <c r="O23" s="216"/>
      <c r="W23" s="400"/>
      <c r="X23" s="400"/>
      <c r="Y23" s="400"/>
      <c r="Z23" s="400"/>
      <c r="AA23" s="400"/>
      <c r="AB23" s="400"/>
      <c r="AC23" s="400"/>
      <c r="AD23" s="400"/>
    </row>
    <row r="24" spans="1:30" ht="12.75" customHeight="1">
      <c r="A24" s="351" t="s">
        <v>129</v>
      </c>
      <c r="B24" s="356"/>
      <c r="C24" s="357" t="s">
        <v>127</v>
      </c>
      <c r="D24" s="111"/>
      <c r="E24" s="232" t="e">
        <f>E22*'5-Premies en opslagen'!$B53</f>
        <v>#DIV/0!</v>
      </c>
      <c r="F24" s="228"/>
      <c r="H24" s="126" t="s">
        <v>115</v>
      </c>
      <c r="I24" s="414"/>
      <c r="J24" s="410"/>
      <c r="K24" s="410"/>
      <c r="L24" s="409"/>
      <c r="M24" s="409"/>
      <c r="N24" s="409"/>
      <c r="O24" s="216"/>
      <c r="W24" s="400"/>
      <c r="X24" s="400"/>
      <c r="Y24" s="400"/>
      <c r="Z24" s="400"/>
      <c r="AA24" s="400"/>
      <c r="AB24" s="400"/>
      <c r="AC24" s="400"/>
      <c r="AD24" s="400"/>
    </row>
    <row r="25" spans="1:30" ht="12.75" customHeight="1">
      <c r="A25" s="346" t="s">
        <v>130</v>
      </c>
      <c r="B25" s="353"/>
      <c r="C25" s="122"/>
      <c r="D25" s="111"/>
      <c r="E25" s="230" t="e">
        <f>SUM(E22:E24)</f>
        <v>#DIV/0!</v>
      </c>
      <c r="F25" s="354" t="e">
        <f>IF(E25=0,0,E25/E$46)</f>
        <v>#DIV/0!</v>
      </c>
      <c r="H25" s="126" t="s">
        <v>117</v>
      </c>
      <c r="I25" s="414"/>
      <c r="J25" s="410"/>
      <c r="K25" s="410"/>
      <c r="L25" s="409"/>
      <c r="M25" s="409"/>
      <c r="N25" s="409"/>
      <c r="O25" s="216"/>
    </row>
    <row r="26" spans="1:30">
      <c r="A26" s="121"/>
      <c r="B26" s="353"/>
      <c r="C26" s="122"/>
      <c r="D26" s="111"/>
      <c r="E26" s="226"/>
      <c r="F26" s="228"/>
      <c r="H26" s="126" t="s">
        <v>118</v>
      </c>
      <c r="I26" s="414"/>
      <c r="J26" s="410"/>
      <c r="K26" s="410"/>
      <c r="L26" s="409"/>
      <c r="M26" s="409"/>
      <c r="N26" s="409"/>
      <c r="O26" s="216"/>
    </row>
    <row r="27" spans="1:30">
      <c r="A27" s="121" t="s">
        <v>131</v>
      </c>
      <c r="B27" s="360"/>
      <c r="C27" s="345" t="s">
        <v>132</v>
      </c>
      <c r="D27" s="111"/>
      <c r="E27" s="229"/>
      <c r="F27" s="228">
        <v>0</v>
      </c>
      <c r="H27" s="126" t="s">
        <v>120</v>
      </c>
      <c r="I27" s="414"/>
      <c r="J27" s="410"/>
      <c r="K27" s="410"/>
      <c r="L27" s="409"/>
      <c r="M27" s="409"/>
      <c r="N27" s="409"/>
      <c r="O27" s="216"/>
    </row>
    <row r="28" spans="1:30">
      <c r="A28" s="121" t="s">
        <v>133</v>
      </c>
      <c r="B28" s="361"/>
      <c r="C28" s="345" t="s">
        <v>132</v>
      </c>
      <c r="D28" s="111"/>
      <c r="E28" s="229"/>
      <c r="F28" s="228">
        <v>0</v>
      </c>
      <c r="H28" s="126" t="s">
        <v>122</v>
      </c>
      <c r="I28" s="414"/>
      <c r="J28" s="410"/>
      <c r="K28" s="410"/>
      <c r="L28" s="409"/>
      <c r="M28" s="409"/>
      <c r="N28" s="409"/>
      <c r="O28" s="216"/>
    </row>
    <row r="29" spans="1:30">
      <c r="A29" s="351" t="s">
        <v>135</v>
      </c>
      <c r="B29" s="353"/>
      <c r="C29" s="122" t="s">
        <v>109</v>
      </c>
      <c r="D29" s="111"/>
      <c r="E29" s="229"/>
      <c r="F29" s="228"/>
      <c r="H29" s="127" t="s">
        <v>134</v>
      </c>
      <c r="I29" s="362">
        <f t="shared" ref="I29:N29" si="0">SUM(I22:I28)</f>
        <v>0</v>
      </c>
      <c r="J29" s="362">
        <f t="shared" si="0"/>
        <v>0</v>
      </c>
      <c r="K29" s="362">
        <f t="shared" si="0"/>
        <v>0</v>
      </c>
      <c r="L29" s="362">
        <f t="shared" si="0"/>
        <v>0</v>
      </c>
      <c r="M29" s="362">
        <f t="shared" si="0"/>
        <v>0</v>
      </c>
      <c r="N29" s="362">
        <f t="shared" si="0"/>
        <v>0</v>
      </c>
      <c r="O29" s="363">
        <f>SUM(I29:N29)</f>
        <v>0</v>
      </c>
    </row>
    <row r="30" spans="1:30">
      <c r="A30" s="351" t="s">
        <v>730</v>
      </c>
      <c r="B30" s="353"/>
      <c r="C30" s="122" t="s">
        <v>109</v>
      </c>
      <c r="D30" s="111"/>
      <c r="E30" s="229"/>
      <c r="F30" s="228"/>
      <c r="H30" s="125"/>
      <c r="I30" s="125"/>
      <c r="J30" s="125"/>
      <c r="K30" s="125"/>
      <c r="L30" s="125"/>
      <c r="M30" s="125"/>
      <c r="N30" s="125"/>
    </row>
    <row r="31" spans="1:30" ht="12.75" customHeight="1">
      <c r="A31" s="346" t="s">
        <v>137</v>
      </c>
      <c r="B31" s="353"/>
      <c r="C31" s="122"/>
      <c r="D31" s="111"/>
      <c r="E31" s="230" t="e">
        <f>SUM(E25:E30)</f>
        <v>#DIV/0!</v>
      </c>
      <c r="F31" s="354" t="e">
        <f>IF(E31=0,0,E31/E$46)</f>
        <v>#DIV/0!</v>
      </c>
      <c r="H31" s="181" t="s">
        <v>108</v>
      </c>
      <c r="I31" s="499" t="s">
        <v>136</v>
      </c>
      <c r="J31" s="500"/>
      <c r="K31" s="500"/>
      <c r="L31" s="500"/>
      <c r="M31" s="500"/>
      <c r="N31" s="500"/>
    </row>
    <row r="32" spans="1:30" ht="12.75" customHeight="1">
      <c r="A32" s="121"/>
      <c r="B32" s="353"/>
      <c r="C32" s="122"/>
      <c r="D32" s="111"/>
      <c r="E32" s="226"/>
      <c r="F32" s="228"/>
      <c r="H32" s="126"/>
      <c r="I32" s="120">
        <v>1</v>
      </c>
      <c r="J32" s="120">
        <v>2</v>
      </c>
      <c r="K32" s="120">
        <v>3</v>
      </c>
      <c r="L32" s="120">
        <v>4</v>
      </c>
      <c r="M32" s="120">
        <v>5</v>
      </c>
      <c r="N32" s="120">
        <v>6</v>
      </c>
    </row>
    <row r="33" spans="1:15" ht="12.75" customHeight="1">
      <c r="A33" s="121" t="s">
        <v>138</v>
      </c>
      <c r="B33" s="353"/>
      <c r="C33" s="367"/>
      <c r="D33" s="111"/>
      <c r="E33" s="229"/>
      <c r="F33" s="236" t="e">
        <f>E33/$E$46</f>
        <v>#DIV/0!</v>
      </c>
      <c r="H33" s="126" t="s">
        <v>112</v>
      </c>
      <c r="I33" s="245">
        <f>I22*I12</f>
        <v>0</v>
      </c>
      <c r="J33" s="245">
        <f t="shared" ref="J33:N33" si="1">J22*J12</f>
        <v>0</v>
      </c>
      <c r="K33" s="245">
        <f t="shared" si="1"/>
        <v>0</v>
      </c>
      <c r="L33" s="245">
        <f t="shared" si="1"/>
        <v>0</v>
      </c>
      <c r="M33" s="245">
        <f t="shared" si="1"/>
        <v>0</v>
      </c>
      <c r="N33" s="407">
        <f t="shared" si="1"/>
        <v>0</v>
      </c>
    </row>
    <row r="34" spans="1:15" ht="12.75" customHeight="1">
      <c r="A34" s="121" t="s">
        <v>139</v>
      </c>
      <c r="B34" s="353"/>
      <c r="C34" s="367"/>
      <c r="D34" s="111"/>
      <c r="E34" s="229"/>
      <c r="F34" s="236" t="e">
        <f t="shared" ref="F34:F40" si="2">E34/$E$46</f>
        <v>#DIV/0!</v>
      </c>
      <c r="H34" s="126" t="s">
        <v>114</v>
      </c>
      <c r="I34" s="245">
        <f t="shared" ref="I34:N34" si="3">I23*I13</f>
        <v>0</v>
      </c>
      <c r="J34" s="245">
        <f t="shared" si="3"/>
        <v>0</v>
      </c>
      <c r="K34" s="245">
        <f t="shared" si="3"/>
        <v>0</v>
      </c>
      <c r="L34" s="245">
        <f t="shared" si="3"/>
        <v>0</v>
      </c>
      <c r="M34" s="245">
        <f t="shared" si="3"/>
        <v>0</v>
      </c>
      <c r="N34" s="407">
        <f t="shared" si="3"/>
        <v>0</v>
      </c>
    </row>
    <row r="35" spans="1:15" ht="12.75" customHeight="1">
      <c r="A35" s="121" t="s">
        <v>140</v>
      </c>
      <c r="B35" s="353"/>
      <c r="C35" s="367"/>
      <c r="D35" s="111"/>
      <c r="E35" s="229"/>
      <c r="F35" s="236" t="e">
        <f t="shared" si="2"/>
        <v>#DIV/0!</v>
      </c>
      <c r="H35" s="126" t="s">
        <v>115</v>
      </c>
      <c r="I35" s="245">
        <f t="shared" ref="I35:N35" si="4">I24*I14</f>
        <v>0</v>
      </c>
      <c r="J35" s="245">
        <f t="shared" si="4"/>
        <v>0</v>
      </c>
      <c r="K35" s="245">
        <f t="shared" si="4"/>
        <v>0</v>
      </c>
      <c r="L35" s="245">
        <f t="shared" si="4"/>
        <v>0</v>
      </c>
      <c r="M35" s="245">
        <f t="shared" si="4"/>
        <v>0</v>
      </c>
      <c r="N35" s="407">
        <f t="shared" si="4"/>
        <v>0</v>
      </c>
      <c r="O35" s="125"/>
    </row>
    <row r="36" spans="1:15" ht="14.25" customHeight="1">
      <c r="A36" s="121" t="s">
        <v>141</v>
      </c>
      <c r="B36" s="353"/>
      <c r="C36" s="368"/>
      <c r="D36" s="111"/>
      <c r="E36" s="229"/>
      <c r="F36" s="236" t="e">
        <f t="shared" si="2"/>
        <v>#DIV/0!</v>
      </c>
      <c r="H36" s="126" t="s">
        <v>117</v>
      </c>
      <c r="I36" s="245">
        <f t="shared" ref="I36:N36" si="5">I25*I15</f>
        <v>0</v>
      </c>
      <c r="J36" s="245">
        <f t="shared" si="5"/>
        <v>0</v>
      </c>
      <c r="K36" s="245">
        <f t="shared" si="5"/>
        <v>0</v>
      </c>
      <c r="L36" s="245">
        <f t="shared" si="5"/>
        <v>0</v>
      </c>
      <c r="M36" s="245">
        <f t="shared" si="5"/>
        <v>0</v>
      </c>
      <c r="N36" s="407">
        <f t="shared" si="5"/>
        <v>0</v>
      </c>
      <c r="O36" s="125"/>
    </row>
    <row r="37" spans="1:15">
      <c r="A37" s="121" t="s">
        <v>142</v>
      </c>
      <c r="B37" s="353"/>
      <c r="C37" s="367"/>
      <c r="D37" s="111"/>
      <c r="E37" s="229"/>
      <c r="F37" s="236" t="e">
        <f t="shared" si="2"/>
        <v>#DIV/0!</v>
      </c>
      <c r="H37" s="126" t="s">
        <v>118</v>
      </c>
      <c r="I37" s="245">
        <f t="shared" ref="I37:N37" si="6">I26*I16</f>
        <v>0</v>
      </c>
      <c r="J37" s="245">
        <f t="shared" si="6"/>
        <v>0</v>
      </c>
      <c r="K37" s="245">
        <f t="shared" si="6"/>
        <v>0</v>
      </c>
      <c r="L37" s="245">
        <f t="shared" si="6"/>
        <v>0</v>
      </c>
      <c r="M37" s="245">
        <f t="shared" si="6"/>
        <v>0</v>
      </c>
      <c r="N37" s="407">
        <f t="shared" si="6"/>
        <v>0</v>
      </c>
      <c r="O37" s="125"/>
    </row>
    <row r="38" spans="1:15">
      <c r="A38" s="121" t="s">
        <v>143</v>
      </c>
      <c r="B38" s="353"/>
      <c r="C38" s="368"/>
      <c r="D38" s="111"/>
      <c r="E38" s="229"/>
      <c r="F38" s="236" t="e">
        <f t="shared" si="2"/>
        <v>#DIV/0!</v>
      </c>
      <c r="H38" s="126" t="s">
        <v>120</v>
      </c>
      <c r="I38" s="245">
        <f t="shared" ref="I38:N38" si="7">I27*I17</f>
        <v>0</v>
      </c>
      <c r="J38" s="245">
        <f t="shared" si="7"/>
        <v>0</v>
      </c>
      <c r="K38" s="245">
        <f t="shared" si="7"/>
        <v>0</v>
      </c>
      <c r="L38" s="245">
        <f t="shared" si="7"/>
        <v>0</v>
      </c>
      <c r="M38" s="245">
        <f t="shared" si="7"/>
        <v>0</v>
      </c>
      <c r="N38" s="407">
        <f t="shared" si="7"/>
        <v>0</v>
      </c>
      <c r="O38" s="125"/>
    </row>
    <row r="39" spans="1:15">
      <c r="A39" s="121" t="s">
        <v>144</v>
      </c>
      <c r="B39" s="353"/>
      <c r="C39" s="345" t="s">
        <v>132</v>
      </c>
      <c r="D39" s="111"/>
      <c r="E39" s="229"/>
      <c r="F39" s="236" t="e">
        <f t="shared" si="2"/>
        <v>#DIV/0!</v>
      </c>
      <c r="H39" s="126" t="s">
        <v>122</v>
      </c>
      <c r="I39" s="245">
        <f t="shared" ref="I39:N39" si="8">I28*I18</f>
        <v>0</v>
      </c>
      <c r="J39" s="245">
        <f t="shared" si="8"/>
        <v>0</v>
      </c>
      <c r="K39" s="245">
        <f t="shared" si="8"/>
        <v>0</v>
      </c>
      <c r="L39" s="245">
        <f t="shared" si="8"/>
        <v>0</v>
      </c>
      <c r="M39" s="245">
        <f t="shared" si="8"/>
        <v>0</v>
      </c>
      <c r="N39" s="407">
        <f t="shared" si="8"/>
        <v>0</v>
      </c>
      <c r="O39" s="125"/>
    </row>
    <row r="40" spans="1:15">
      <c r="A40" s="121" t="s">
        <v>145</v>
      </c>
      <c r="B40" s="353"/>
      <c r="C40" s="345"/>
      <c r="D40" s="111"/>
      <c r="E40" s="229"/>
      <c r="F40" s="236" t="e">
        <f t="shared" si="2"/>
        <v>#DIV/0!</v>
      </c>
      <c r="H40" s="127" t="s">
        <v>134</v>
      </c>
      <c r="I40" s="246">
        <f t="shared" ref="I40:N40" si="9">SUM(I33:I39)</f>
        <v>0</v>
      </c>
      <c r="J40" s="246">
        <f t="shared" si="9"/>
        <v>0</v>
      </c>
      <c r="K40" s="246">
        <f t="shared" si="9"/>
        <v>0</v>
      </c>
      <c r="L40" s="246">
        <f t="shared" si="9"/>
        <v>0</v>
      </c>
      <c r="M40" s="246">
        <f t="shared" si="9"/>
        <v>0</v>
      </c>
      <c r="N40" s="246">
        <f t="shared" si="9"/>
        <v>0</v>
      </c>
      <c r="O40" s="125"/>
    </row>
    <row r="41" spans="1:15">
      <c r="A41" s="364"/>
      <c r="B41" s="365"/>
      <c r="C41" s="369"/>
      <c r="D41" s="111"/>
      <c r="E41" s="229"/>
      <c r="F41" s="228"/>
      <c r="H41" s="125"/>
      <c r="I41" s="125"/>
      <c r="J41" s="125"/>
      <c r="K41" s="125"/>
      <c r="L41" s="125"/>
      <c r="M41" s="125"/>
      <c r="N41" s="125"/>
      <c r="O41" s="125"/>
    </row>
    <row r="42" spans="1:15">
      <c r="A42" s="346" t="s">
        <v>146</v>
      </c>
      <c r="B42" s="353"/>
      <c r="C42" s="122"/>
      <c r="D42" s="111"/>
      <c r="E42" s="230" t="e">
        <f>SUM(E31:E41)</f>
        <v>#DIV/0!</v>
      </c>
      <c r="F42" s="354" t="e">
        <f>IF(E42=0,0,E42/E$46)</f>
        <v>#DIV/0!</v>
      </c>
      <c r="G42" s="421"/>
      <c r="H42" s="125"/>
      <c r="I42" s="125"/>
      <c r="J42" s="125"/>
      <c r="K42" s="125"/>
      <c r="L42" s="125"/>
      <c r="M42" s="125"/>
      <c r="N42" s="125"/>
      <c r="O42" s="125"/>
    </row>
    <row r="43" spans="1:15" ht="43.5">
      <c r="A43" s="121"/>
      <c r="B43" s="353"/>
      <c r="C43" s="122"/>
      <c r="D43" s="111"/>
      <c r="E43" s="226"/>
      <c r="F43" s="237"/>
      <c r="H43" s="181" t="s">
        <v>147</v>
      </c>
      <c r="I43" s="338"/>
      <c r="J43" s="339"/>
      <c r="K43" s="182" t="s">
        <v>107</v>
      </c>
      <c r="L43" s="125"/>
      <c r="M43" s="125"/>
      <c r="N43" s="125"/>
    </row>
    <row r="44" spans="1:15">
      <c r="A44" s="121" t="s">
        <v>148</v>
      </c>
      <c r="B44" s="353"/>
      <c r="C44" s="368"/>
      <c r="D44" s="111"/>
      <c r="E44" s="229"/>
      <c r="F44" s="354">
        <f>(IF(E44=0,0,E44/E$46))</f>
        <v>0</v>
      </c>
      <c r="H44" s="126"/>
      <c r="I44" s="340" t="s">
        <v>109</v>
      </c>
      <c r="J44" s="341" t="s">
        <v>109</v>
      </c>
      <c r="K44" s="226"/>
      <c r="L44" s="125"/>
      <c r="M44" s="125"/>
      <c r="N44" s="125"/>
    </row>
    <row r="45" spans="1:15">
      <c r="A45" s="121"/>
      <c r="B45" s="370"/>
      <c r="C45" s="122"/>
      <c r="D45" s="111"/>
      <c r="E45" s="226"/>
      <c r="F45" s="228"/>
      <c r="H45" s="129" t="s">
        <v>116</v>
      </c>
      <c r="I45" s="130"/>
      <c r="J45" s="131"/>
      <c r="K45" s="230">
        <f>E14</f>
        <v>0</v>
      </c>
      <c r="L45" s="125"/>
      <c r="M45" s="125"/>
      <c r="N45" s="125"/>
    </row>
    <row r="46" spans="1:15">
      <c r="A46" s="346" t="s">
        <v>149</v>
      </c>
      <c r="B46" s="371"/>
      <c r="C46" s="372"/>
      <c r="D46" s="111"/>
      <c r="E46" s="238" t="e">
        <f>SUM(E42:E45)</f>
        <v>#DIV/0!</v>
      </c>
      <c r="F46" s="239" t="e">
        <f>SUM(F42:F45)</f>
        <v>#DIV/0!</v>
      </c>
      <c r="H46" s="132" t="s">
        <v>119</v>
      </c>
      <c r="I46" s="133"/>
      <c r="J46" s="134"/>
      <c r="K46" s="232">
        <f>E16</f>
        <v>0</v>
      </c>
      <c r="L46" s="125"/>
      <c r="M46" s="125"/>
      <c r="N46" s="125"/>
    </row>
    <row r="47" spans="1:15">
      <c r="B47" s="128"/>
      <c r="C47" s="373"/>
      <c r="D47" s="111"/>
      <c r="E47" s="216"/>
      <c r="F47" s="240"/>
      <c r="H47" s="351" t="s">
        <v>121</v>
      </c>
      <c r="I47" s="133"/>
      <c r="J47" s="134"/>
      <c r="K47" s="233">
        <f>E17</f>
        <v>0</v>
      </c>
      <c r="L47" s="125"/>
      <c r="M47" s="125"/>
      <c r="N47" s="125"/>
      <c r="O47" s="125"/>
    </row>
    <row r="48" spans="1:15">
      <c r="A48" s="374" t="s">
        <v>150</v>
      </c>
      <c r="B48" s="375"/>
      <c r="C48" s="376"/>
      <c r="D48" s="125"/>
      <c r="E48" s="241" t="e">
        <f>(E$25*1.3)+($E$46-$E$25)</f>
        <v>#DIV/0!</v>
      </c>
      <c r="F48" s="242"/>
      <c r="H48" s="351" t="s">
        <v>126</v>
      </c>
      <c r="I48" s="133"/>
      <c r="J48" s="134"/>
      <c r="K48" s="232" t="e">
        <f>E21</f>
        <v>#DIV/0!</v>
      </c>
      <c r="L48" s="125"/>
      <c r="M48" s="125"/>
      <c r="N48" s="125"/>
      <c r="O48" s="125"/>
    </row>
    <row r="49" spans="1:26">
      <c r="A49" s="125"/>
      <c r="B49" s="135"/>
      <c r="C49" s="136"/>
      <c r="D49" s="125"/>
      <c r="E49" s="243"/>
      <c r="F49" s="243"/>
      <c r="G49" s="125"/>
      <c r="H49" s="351" t="s">
        <v>129</v>
      </c>
      <c r="I49" s="356"/>
      <c r="J49" s="357"/>
      <c r="K49" s="232" t="e">
        <f>E24</f>
        <v>#DIV/0!</v>
      </c>
      <c r="L49" s="125"/>
      <c r="M49" s="125"/>
      <c r="N49" s="125"/>
      <c r="O49" s="125"/>
    </row>
    <row r="50" spans="1:26" s="12" customFormat="1">
      <c r="A50" s="374" t="s">
        <v>151</v>
      </c>
      <c r="B50" s="375"/>
      <c r="C50" s="376"/>
      <c r="D50" s="125"/>
      <c r="E50" s="241" t="e">
        <f>(E$25*1.5)+($E$46-$E$25)</f>
        <v>#DIV/0!</v>
      </c>
      <c r="F50" s="242"/>
      <c r="G50" s="125"/>
      <c r="H50" s="121" t="s">
        <v>131</v>
      </c>
      <c r="I50" s="360"/>
      <c r="J50" s="345"/>
      <c r="K50" s="227">
        <f>E27</f>
        <v>0</v>
      </c>
      <c r="L50" s="125"/>
      <c r="M50" s="125"/>
      <c r="N50" s="125"/>
      <c r="O50" s="125"/>
      <c r="P50" s="56"/>
      <c r="Q50" s="56"/>
      <c r="R50" s="56"/>
      <c r="S50" s="56"/>
      <c r="T50" s="56"/>
      <c r="U50" s="56"/>
      <c r="V50" s="2"/>
      <c r="W50" s="2"/>
      <c r="X50" s="2"/>
      <c r="Y50" s="2"/>
      <c r="Z50" s="2"/>
    </row>
    <row r="51" spans="1:26" s="12" customFormat="1">
      <c r="A51" s="125"/>
      <c r="B51" s="135"/>
      <c r="C51" s="136"/>
      <c r="D51" s="125"/>
      <c r="E51" s="243"/>
      <c r="F51" s="243"/>
      <c r="G51" s="125"/>
      <c r="H51" s="121" t="s">
        <v>133</v>
      </c>
      <c r="I51" s="361"/>
      <c r="J51" s="345"/>
      <c r="K51" s="227">
        <f t="shared" ref="K51:K52" si="10">E28</f>
        <v>0</v>
      </c>
      <c r="L51" s="125"/>
      <c r="M51" s="56"/>
      <c r="N51" s="125"/>
      <c r="O51" s="125"/>
      <c r="P51" s="125"/>
      <c r="Q51" s="125"/>
      <c r="R51" s="125"/>
      <c r="S51" s="125"/>
      <c r="T51" s="125"/>
      <c r="U51" s="125"/>
    </row>
    <row r="52" spans="1:26" s="12" customFormat="1">
      <c r="A52" s="374" t="s">
        <v>152</v>
      </c>
      <c r="B52" s="375"/>
      <c r="C52" s="376"/>
      <c r="D52" s="125"/>
      <c r="E52" s="241" t="e">
        <f>(E$25*2.5)+($E$46-$E$25)</f>
        <v>#DIV/0!</v>
      </c>
      <c r="F52" s="243"/>
      <c r="G52" s="125"/>
      <c r="H52" s="121" t="s">
        <v>135</v>
      </c>
      <c r="I52" s="353"/>
      <c r="J52" s="122" t="s">
        <v>109</v>
      </c>
      <c r="K52" s="227">
        <f t="shared" si="10"/>
        <v>0</v>
      </c>
      <c r="L52" s="125"/>
      <c r="M52" s="56"/>
      <c r="N52" s="125"/>
      <c r="O52" s="125"/>
      <c r="P52" s="125"/>
      <c r="Q52" s="125"/>
      <c r="R52" s="125"/>
      <c r="S52" s="125"/>
      <c r="T52" s="125"/>
      <c r="U52" s="125"/>
    </row>
    <row r="53" spans="1:26" s="12" customFormat="1">
      <c r="A53" s="125"/>
      <c r="B53" s="135"/>
      <c r="C53" s="137"/>
      <c r="D53" s="125"/>
      <c r="E53" s="125"/>
      <c r="F53" s="138"/>
      <c r="G53" s="125"/>
      <c r="H53" s="121" t="s">
        <v>138</v>
      </c>
      <c r="I53" s="353"/>
      <c r="J53" s="367"/>
      <c r="K53" s="227">
        <f>E33</f>
        <v>0</v>
      </c>
      <c r="L53" s="125"/>
      <c r="M53" s="56"/>
      <c r="N53" s="125"/>
      <c r="O53" s="125"/>
      <c r="P53" s="125"/>
      <c r="Q53" s="125"/>
      <c r="R53" s="125"/>
      <c r="S53" s="125"/>
      <c r="T53" s="125"/>
      <c r="U53" s="125"/>
    </row>
    <row r="54" spans="1:26" s="12" customFormat="1">
      <c r="A54" s="125"/>
      <c r="B54" s="135"/>
      <c r="C54" s="137"/>
      <c r="D54" s="125"/>
      <c r="E54" s="125"/>
      <c r="F54" s="138"/>
      <c r="G54" s="125"/>
      <c r="H54" s="121" t="s">
        <v>139</v>
      </c>
      <c r="I54" s="353"/>
      <c r="J54" s="367"/>
      <c r="K54" s="227">
        <f t="shared" ref="K54:K60" si="11">E34</f>
        <v>0</v>
      </c>
      <c r="L54" s="125"/>
      <c r="M54" s="56"/>
      <c r="N54" s="125"/>
      <c r="O54" s="125"/>
      <c r="P54" s="125"/>
      <c r="Q54" s="125"/>
      <c r="R54" s="125"/>
      <c r="S54" s="125"/>
      <c r="T54" s="125"/>
      <c r="U54" s="125"/>
    </row>
    <row r="55" spans="1:26" s="12" customFormat="1">
      <c r="A55" s="125"/>
      <c r="B55" s="125"/>
      <c r="C55" s="139"/>
      <c r="D55" s="125"/>
      <c r="E55" s="125"/>
      <c r="F55" s="138"/>
      <c r="G55" s="125"/>
      <c r="H55" s="121" t="s">
        <v>140</v>
      </c>
      <c r="I55" s="353"/>
      <c r="J55" s="367"/>
      <c r="K55" s="227">
        <f t="shared" si="11"/>
        <v>0</v>
      </c>
      <c r="L55" s="125"/>
      <c r="M55" s="56"/>
      <c r="N55" s="125"/>
      <c r="O55" s="125"/>
      <c r="P55" s="125"/>
      <c r="Q55" s="125"/>
      <c r="R55" s="125"/>
      <c r="S55" s="125"/>
      <c r="T55" s="125"/>
      <c r="U55" s="125"/>
    </row>
    <row r="56" spans="1:26" s="12" customFormat="1">
      <c r="A56" s="125"/>
      <c r="B56" s="125"/>
      <c r="C56" s="139"/>
      <c r="D56" s="125"/>
      <c r="E56" s="125"/>
      <c r="F56" s="138"/>
      <c r="G56" s="125"/>
      <c r="H56" s="121" t="s">
        <v>141</v>
      </c>
      <c r="I56" s="353"/>
      <c r="J56" s="368"/>
      <c r="K56" s="227">
        <f t="shared" si="11"/>
        <v>0</v>
      </c>
      <c r="L56" s="125"/>
      <c r="M56" s="56"/>
      <c r="N56" s="125"/>
      <c r="O56" s="125"/>
      <c r="P56" s="125"/>
      <c r="Q56" s="125"/>
      <c r="R56" s="125"/>
      <c r="S56" s="125"/>
      <c r="T56" s="125"/>
      <c r="U56" s="125"/>
    </row>
    <row r="57" spans="1:26" s="12" customFormat="1">
      <c r="A57" s="56"/>
      <c r="B57" s="125"/>
      <c r="C57" s="139"/>
      <c r="D57" s="125"/>
      <c r="E57" s="125"/>
      <c r="F57" s="138"/>
      <c r="G57" s="125"/>
      <c r="H57" s="121" t="s">
        <v>142</v>
      </c>
      <c r="I57" s="353"/>
      <c r="J57" s="367"/>
      <c r="K57" s="227">
        <f t="shared" si="11"/>
        <v>0</v>
      </c>
      <c r="L57" s="125"/>
      <c r="M57" s="56"/>
      <c r="N57" s="125"/>
      <c r="O57" s="125"/>
      <c r="P57" s="125"/>
      <c r="Q57" s="125"/>
      <c r="R57" s="125"/>
      <c r="S57" s="125"/>
      <c r="T57" s="125"/>
      <c r="U57" s="125"/>
    </row>
    <row r="58" spans="1:26" s="12" customFormat="1">
      <c r="A58" s="125"/>
      <c r="B58" s="125"/>
      <c r="C58" s="139"/>
      <c r="D58" s="139"/>
      <c r="E58" s="139"/>
      <c r="F58" s="139"/>
      <c r="G58" s="125"/>
      <c r="H58" s="121" t="s">
        <v>143</v>
      </c>
      <c r="I58" s="353"/>
      <c r="J58" s="368"/>
      <c r="K58" s="227">
        <f t="shared" si="11"/>
        <v>0</v>
      </c>
      <c r="L58" s="125"/>
      <c r="M58" s="56"/>
      <c r="N58" s="56"/>
      <c r="O58" s="125"/>
      <c r="P58" s="125"/>
      <c r="Q58" s="125"/>
      <c r="R58" s="125"/>
      <c r="S58" s="125"/>
      <c r="T58" s="125"/>
      <c r="U58" s="125"/>
    </row>
    <row r="59" spans="1:26" s="12" customFormat="1">
      <c r="A59" s="125"/>
      <c r="B59" s="125"/>
      <c r="C59" s="139"/>
      <c r="D59" s="125"/>
      <c r="E59" s="125"/>
      <c r="F59" s="138"/>
      <c r="G59" s="125"/>
      <c r="H59" s="121" t="s">
        <v>144</v>
      </c>
      <c r="I59" s="353"/>
      <c r="J59" s="345"/>
      <c r="K59" s="227">
        <f t="shared" si="11"/>
        <v>0</v>
      </c>
      <c r="L59" s="125"/>
      <c r="M59" s="56"/>
      <c r="N59" s="56"/>
      <c r="O59" s="125"/>
      <c r="P59" s="125"/>
      <c r="Q59" s="125"/>
      <c r="R59" s="125"/>
      <c r="S59" s="125"/>
      <c r="T59" s="125"/>
      <c r="U59" s="125"/>
    </row>
    <row r="60" spans="1:26" s="12" customFormat="1">
      <c r="A60" s="125"/>
      <c r="B60" s="125"/>
      <c r="C60" s="139"/>
      <c r="D60" s="125"/>
      <c r="E60" s="125"/>
      <c r="F60" s="138"/>
      <c r="G60" s="125"/>
      <c r="H60" s="121" t="s">
        <v>145</v>
      </c>
      <c r="I60" s="353"/>
      <c r="J60" s="345"/>
      <c r="K60" s="227">
        <f t="shared" si="11"/>
        <v>0</v>
      </c>
      <c r="L60" s="125"/>
      <c r="M60" s="56"/>
      <c r="N60" s="56"/>
      <c r="O60" s="125"/>
      <c r="P60" s="125"/>
      <c r="Q60" s="125"/>
      <c r="R60" s="125"/>
      <c r="S60" s="125"/>
      <c r="T60" s="125"/>
      <c r="U60" s="125"/>
    </row>
    <row r="61" spans="1:26" s="12" customFormat="1">
      <c r="A61" s="125"/>
      <c r="B61" s="125"/>
      <c r="C61" s="139"/>
      <c r="D61" s="125"/>
      <c r="E61" s="125"/>
      <c r="F61" s="138"/>
      <c r="G61" s="125"/>
      <c r="H61" s="121" t="s">
        <v>148</v>
      </c>
      <c r="I61" s="353"/>
      <c r="J61" s="368"/>
      <c r="K61" s="227">
        <f>E44</f>
        <v>0</v>
      </c>
      <c r="L61" s="125"/>
      <c r="M61" s="56"/>
      <c r="N61" s="56"/>
      <c r="O61" s="125"/>
      <c r="P61" s="125"/>
      <c r="Q61" s="125"/>
      <c r="R61" s="125"/>
      <c r="S61" s="125"/>
      <c r="T61" s="125"/>
      <c r="U61" s="125"/>
    </row>
    <row r="62" spans="1:26" s="12" customFormat="1">
      <c r="A62" s="125"/>
      <c r="B62" s="125"/>
      <c r="C62" s="139"/>
      <c r="D62" s="125"/>
      <c r="E62" s="125"/>
      <c r="F62" s="138"/>
      <c r="G62" s="125"/>
      <c r="H62" s="121"/>
      <c r="I62" s="370"/>
      <c r="J62" s="122"/>
      <c r="K62" s="226"/>
      <c r="L62" s="125"/>
      <c r="M62" s="56"/>
      <c r="N62" s="56"/>
      <c r="O62" s="125"/>
      <c r="P62" s="125"/>
      <c r="Q62" s="125"/>
      <c r="R62" s="125"/>
      <c r="S62" s="125"/>
      <c r="T62" s="125"/>
      <c r="U62" s="125"/>
    </row>
    <row r="63" spans="1:26" s="12" customFormat="1">
      <c r="A63" s="125"/>
      <c r="B63" s="125"/>
      <c r="C63" s="139"/>
      <c r="D63" s="125"/>
      <c r="E63" s="125"/>
      <c r="F63" s="138"/>
      <c r="G63" s="125"/>
      <c r="H63" s="346" t="s">
        <v>149</v>
      </c>
      <c r="I63" s="371"/>
      <c r="J63" s="372"/>
      <c r="K63" s="238" t="e">
        <f>SUM(K45:K62)</f>
        <v>#DIV/0!</v>
      </c>
      <c r="L63" s="125"/>
      <c r="M63" s="56"/>
      <c r="N63" s="56"/>
      <c r="O63" s="125"/>
      <c r="P63" s="125"/>
      <c r="Q63" s="125"/>
      <c r="R63" s="125"/>
      <c r="S63" s="125"/>
      <c r="T63" s="125"/>
      <c r="U63" s="125"/>
    </row>
    <row r="64" spans="1:26" s="12" customFormat="1">
      <c r="A64" s="125"/>
      <c r="B64" s="125"/>
      <c r="C64" s="139"/>
      <c r="D64" s="125"/>
      <c r="E64" s="56"/>
      <c r="F64" s="138"/>
      <c r="G64" s="125"/>
      <c r="H64" s="56"/>
      <c r="I64" s="128"/>
      <c r="J64" s="373"/>
      <c r="K64" s="216"/>
      <c r="L64" s="125"/>
      <c r="M64" s="56"/>
      <c r="N64" s="56"/>
      <c r="O64" s="56"/>
      <c r="P64" s="125"/>
      <c r="Q64" s="125"/>
      <c r="R64" s="125"/>
      <c r="S64" s="125"/>
      <c r="T64" s="125"/>
      <c r="U64" s="125"/>
    </row>
    <row r="65" spans="1:22" s="12" customFormat="1">
      <c r="A65" s="56"/>
      <c r="B65" s="56"/>
      <c r="C65" s="56"/>
      <c r="D65" s="56"/>
      <c r="E65" s="56"/>
      <c r="F65" s="56"/>
      <c r="G65" s="125"/>
      <c r="H65" s="374" t="s">
        <v>150</v>
      </c>
      <c r="I65" s="375"/>
      <c r="J65" s="376"/>
      <c r="K65" s="241" t="e">
        <f>E48</f>
        <v>#DIV/0!</v>
      </c>
      <c r="L65" s="125"/>
      <c r="M65" s="56"/>
      <c r="N65" s="56"/>
      <c r="O65" s="56"/>
      <c r="P65" s="56"/>
      <c r="Q65" s="125"/>
      <c r="R65" s="125"/>
      <c r="S65" s="125"/>
      <c r="T65" s="125"/>
      <c r="U65" s="125"/>
    </row>
    <row r="66" spans="1:22" s="12" customFormat="1">
      <c r="A66" s="56"/>
      <c r="B66" s="56"/>
      <c r="C66" s="56"/>
      <c r="D66" s="56"/>
      <c r="E66" s="56"/>
      <c r="F66" s="56"/>
      <c r="G66" s="56"/>
      <c r="H66" s="125"/>
      <c r="I66" s="135"/>
      <c r="J66" s="136"/>
      <c r="K66" s="243"/>
      <c r="L66" s="125"/>
      <c r="M66" s="56"/>
      <c r="N66" s="56"/>
      <c r="O66" s="56"/>
      <c r="P66" s="56"/>
      <c r="Q66" s="56"/>
      <c r="R66" s="56"/>
      <c r="S66" s="56"/>
      <c r="T66" s="56"/>
      <c r="U66" s="56"/>
      <c r="V66" s="2"/>
    </row>
    <row r="67" spans="1:22">
      <c r="H67" s="374" t="s">
        <v>151</v>
      </c>
      <c r="I67" s="375"/>
      <c r="J67" s="376"/>
      <c r="K67" s="241" t="e">
        <f>E50</f>
        <v>#DIV/0!</v>
      </c>
      <c r="L67" s="125"/>
    </row>
    <row r="68" spans="1:22">
      <c r="H68" s="125"/>
      <c r="I68" s="135"/>
      <c r="J68" s="136"/>
      <c r="K68" s="243"/>
      <c r="L68" s="125"/>
    </row>
    <row r="69" spans="1:22">
      <c r="H69" s="374" t="s">
        <v>152</v>
      </c>
      <c r="I69" s="375"/>
      <c r="J69" s="376"/>
      <c r="K69" s="241" t="e">
        <f>E52</f>
        <v>#DIV/0!</v>
      </c>
      <c r="L69" s="125"/>
    </row>
    <row r="70" spans="1:22">
      <c r="L70" s="125"/>
    </row>
    <row r="71" spans="1:22">
      <c r="L71" s="125"/>
    </row>
    <row r="72" spans="1:22">
      <c r="L72" s="125"/>
    </row>
  </sheetData>
  <dataConsolidate/>
  <mergeCells count="7">
    <mergeCell ref="I31:N31"/>
    <mergeCell ref="E10:F10"/>
    <mergeCell ref="H1:N2"/>
    <mergeCell ref="H3:N3"/>
    <mergeCell ref="H4:N5"/>
    <mergeCell ref="I10:N10"/>
    <mergeCell ref="I20:N20"/>
  </mergeCells>
  <phoneticPr fontId="10"/>
  <conditionalFormatting sqref="O29">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1" fitToWidth="0" orientation="landscape" horizontalDpi="4294967292" verticalDpi="4294967292" r:id="rId1"/>
  <headerFooter alignWithMargins="0">
    <oddFooter>&amp;L&amp;"Georgia,Standaard"&amp;11&amp;F-&amp;A&amp;R&amp;"Georgia,Standaard"&amp;11printversie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sheetViews>
  <sheetFormatPr defaultColWidth="11.453125" defaultRowHeight="13"/>
  <cols>
    <col min="1" max="1" width="35.81640625" style="56" customWidth="1"/>
    <col min="2" max="2" width="21.26953125" style="56" customWidth="1"/>
    <col min="3" max="3" width="19.26953125" style="56" bestFit="1" customWidth="1"/>
    <col min="4" max="4" width="2" style="56" customWidth="1"/>
    <col min="5" max="5" width="14.453125" style="56" customWidth="1"/>
    <col min="6" max="6" width="11.7265625" style="56" customWidth="1"/>
    <col min="7" max="7" width="6" style="56" customWidth="1"/>
    <col min="8" max="8" width="27.81640625" style="56" customWidth="1"/>
    <col min="9" max="15" width="11.453125" style="56"/>
    <col min="16" max="16384" width="11.453125" style="2"/>
  </cols>
  <sheetData>
    <row r="1" spans="1:15" ht="12.75" customHeight="1">
      <c r="A1" s="406" t="s">
        <v>4</v>
      </c>
      <c r="B1" s="82"/>
      <c r="C1" s="83"/>
      <c r="D1" s="83"/>
      <c r="E1" s="83"/>
      <c r="F1" s="83"/>
      <c r="H1" s="503"/>
      <c r="I1" s="503"/>
      <c r="J1" s="503"/>
      <c r="K1" s="503"/>
      <c r="L1" s="503"/>
      <c r="M1" s="503"/>
      <c r="N1" s="503"/>
    </row>
    <row r="2" spans="1:15">
      <c r="A2" s="83"/>
      <c r="B2" s="101"/>
      <c r="C2" s="102"/>
      <c r="D2" s="101"/>
      <c r="E2" s="103"/>
      <c r="F2" s="104"/>
      <c r="H2" s="503"/>
      <c r="I2" s="503"/>
      <c r="J2" s="503"/>
      <c r="K2" s="503"/>
      <c r="L2" s="503"/>
      <c r="M2" s="503"/>
      <c r="N2" s="503"/>
    </row>
    <row r="3" spans="1:15" ht="14.25" customHeight="1">
      <c r="A3" s="37" t="str">
        <f>'2-Kosten per locatie'!A3</f>
        <v>Naam opdrachtgever</v>
      </c>
      <c r="B3" s="105" t="str">
        <f>'2-Kosten per locatie'!B3</f>
        <v>Zaan Primair</v>
      </c>
      <c r="C3" s="106"/>
      <c r="D3" s="101"/>
      <c r="E3" s="107"/>
      <c r="F3" s="108"/>
      <c r="H3" s="503"/>
      <c r="I3" s="503"/>
      <c r="J3" s="503"/>
      <c r="K3" s="503"/>
      <c r="L3" s="503"/>
      <c r="M3" s="503"/>
      <c r="N3" s="503"/>
    </row>
    <row r="4" spans="1:15" ht="15.75" customHeight="1">
      <c r="A4" s="37" t="str">
        <f>'2-Kosten per locatie'!A4</f>
        <v>Calculatie onderdeel</v>
      </c>
      <c r="B4" s="109" t="str">
        <f ca="1">MID(CELL("bestandsnaam",$C$9),SEARCH("]",CELL("bestandsnaam",$C$9),1)+1,256)</f>
        <v>7-Opbouw uurtarief toezicht</v>
      </c>
      <c r="C4" s="110"/>
      <c r="D4" s="111"/>
      <c r="H4" s="503"/>
      <c r="I4" s="503"/>
      <c r="J4" s="503"/>
      <c r="K4" s="503"/>
      <c r="L4" s="503"/>
      <c r="M4" s="503"/>
      <c r="N4" s="503"/>
    </row>
    <row r="5" spans="1:15" ht="15.5">
      <c r="A5" s="37" t="str">
        <f>'2-Kosten per locatie'!A5</f>
        <v>Gebouw/plaats</v>
      </c>
      <c r="B5" s="105" t="str">
        <f>'2-Kosten per locatie'!B5</f>
        <v>Divers</v>
      </c>
      <c r="C5" s="110"/>
      <c r="D5" s="111"/>
      <c r="H5" s="503"/>
      <c r="I5" s="503"/>
      <c r="J5" s="503"/>
      <c r="K5" s="503"/>
      <c r="L5" s="503"/>
      <c r="M5" s="503"/>
      <c r="N5" s="503"/>
    </row>
    <row r="6" spans="1:15" ht="15.5">
      <c r="A6" s="37" t="str">
        <f>'2-Kosten per locatie'!A6</f>
        <v>Referentie nummer</v>
      </c>
      <c r="B6" s="105" t="str">
        <f>'2-Kosten per locatie'!B6</f>
        <v>Perceel 1 (Noordelijk gebied)</v>
      </c>
      <c r="C6" s="110"/>
      <c r="D6" s="111"/>
      <c r="H6" s="112"/>
      <c r="I6" s="112"/>
      <c r="J6" s="112"/>
      <c r="K6" s="112"/>
      <c r="L6" s="112"/>
      <c r="M6" s="112"/>
      <c r="N6" s="112"/>
    </row>
    <row r="7" spans="1:15" ht="15.5">
      <c r="A7" s="37" t="str">
        <f>'2-Kosten per locatie'!A7</f>
        <v>Naam dienstverlener</v>
      </c>
      <c r="B7" s="105">
        <f>'2-Kosten per locatie'!B7</f>
        <v>0</v>
      </c>
      <c r="C7" s="110"/>
      <c r="D7" s="111"/>
      <c r="H7" s="112"/>
      <c r="I7" s="112"/>
      <c r="J7" s="112"/>
      <c r="K7" s="112"/>
      <c r="L7" s="112"/>
      <c r="M7" s="112"/>
      <c r="N7" s="112"/>
    </row>
    <row r="8" spans="1:15" ht="15.5">
      <c r="A8" s="37" t="str">
        <f>'2-Kosten per locatie'!A8</f>
        <v>Prijspeil</v>
      </c>
      <c r="B8" s="244">
        <f>'2-Kosten per locatie'!B8</f>
        <v>46388</v>
      </c>
      <c r="C8" s="110"/>
      <c r="D8" s="111"/>
      <c r="J8" s="112"/>
      <c r="K8" s="112"/>
      <c r="L8" s="112"/>
      <c r="M8" s="112"/>
      <c r="N8" s="112"/>
      <c r="O8" s="113"/>
    </row>
    <row r="9" spans="1:15" ht="15.5">
      <c r="A9" s="114"/>
      <c r="B9" s="115"/>
      <c r="C9" s="116"/>
      <c r="D9" s="111"/>
      <c r="E9" s="117"/>
      <c r="F9" s="118"/>
    </row>
    <row r="10" spans="1:15" s="20" customFormat="1" ht="30.75" customHeight="1">
      <c r="A10" s="377" t="s">
        <v>153</v>
      </c>
      <c r="B10" s="338"/>
      <c r="C10" s="339"/>
      <c r="D10" s="179"/>
      <c r="E10" s="501" t="s">
        <v>154</v>
      </c>
      <c r="F10" s="502"/>
      <c r="G10" s="113"/>
      <c r="H10" s="181" t="s">
        <v>108</v>
      </c>
      <c r="I10" s="499" t="s">
        <v>734</v>
      </c>
      <c r="J10" s="500"/>
      <c r="K10" s="500"/>
      <c r="L10" s="500"/>
      <c r="M10" s="500"/>
      <c r="N10" s="500"/>
      <c r="O10" s="113"/>
    </row>
    <row r="11" spans="1:15" ht="14.5" customHeight="1">
      <c r="A11" s="126"/>
      <c r="B11" s="340" t="s">
        <v>109</v>
      </c>
      <c r="C11" s="341" t="s">
        <v>109</v>
      </c>
      <c r="D11" s="111"/>
      <c r="E11" s="119"/>
      <c r="F11" s="378"/>
      <c r="H11" s="126"/>
      <c r="I11" s="247">
        <v>1</v>
      </c>
      <c r="J11" s="247">
        <v>2</v>
      </c>
      <c r="K11" s="247">
        <v>3</v>
      </c>
      <c r="L11" s="247">
        <v>4</v>
      </c>
      <c r="M11" s="247">
        <v>5</v>
      </c>
      <c r="N11" s="247">
        <v>6</v>
      </c>
    </row>
    <row r="12" spans="1:15" ht="12.75" customHeight="1">
      <c r="A12" s="126" t="s">
        <v>110</v>
      </c>
      <c r="B12" s="343" t="s">
        <v>111</v>
      </c>
      <c r="C12" s="344"/>
      <c r="D12" s="111"/>
      <c r="E12" s="227">
        <f>SUM(I31:N31)</f>
        <v>0</v>
      </c>
      <c r="F12" s="228"/>
      <c r="H12" s="126" t="s">
        <v>117</v>
      </c>
      <c r="I12" s="248"/>
      <c r="J12" s="248"/>
      <c r="K12" s="248"/>
      <c r="L12" s="248"/>
      <c r="M12" s="248"/>
      <c r="N12" s="248"/>
    </row>
    <row r="13" spans="1:15">
      <c r="A13" s="126" t="s">
        <v>113</v>
      </c>
      <c r="B13" s="343" t="s">
        <v>111</v>
      </c>
      <c r="C13" s="345"/>
      <c r="D13" s="111"/>
      <c r="E13" s="229"/>
      <c r="F13" s="228"/>
      <c r="H13" s="126" t="s">
        <v>118</v>
      </c>
      <c r="I13" s="248"/>
      <c r="J13" s="248"/>
      <c r="K13" s="248"/>
      <c r="L13" s="248"/>
      <c r="M13" s="248"/>
      <c r="N13" s="248"/>
    </row>
    <row r="14" spans="1:15">
      <c r="A14" s="346" t="s">
        <v>116</v>
      </c>
      <c r="B14" s="347"/>
      <c r="C14" s="348"/>
      <c r="D14" s="123"/>
      <c r="E14" s="230">
        <f>SUM(E12:E13)</f>
        <v>0</v>
      </c>
      <c r="F14" s="228"/>
      <c r="H14" s="126" t="s">
        <v>120</v>
      </c>
      <c r="I14" s="248"/>
      <c r="J14" s="248"/>
      <c r="K14" s="248"/>
      <c r="L14" s="248"/>
      <c r="M14" s="248"/>
      <c r="N14" s="248"/>
    </row>
    <row r="15" spans="1:15">
      <c r="A15" s="121"/>
      <c r="B15" s="349"/>
      <c r="C15" s="350"/>
      <c r="D15" s="111"/>
      <c r="E15" s="231"/>
      <c r="F15" s="228"/>
      <c r="H15" s="126" t="s">
        <v>122</v>
      </c>
      <c r="I15" s="248"/>
      <c r="J15" s="248"/>
      <c r="K15" s="248"/>
      <c r="L15" s="248"/>
      <c r="M15" s="248"/>
      <c r="N15" s="248"/>
    </row>
    <row r="16" spans="1:15">
      <c r="A16" s="351" t="s">
        <v>119</v>
      </c>
      <c r="B16" s="343" t="s">
        <v>111</v>
      </c>
      <c r="C16" s="352"/>
      <c r="D16" s="111"/>
      <c r="E16" s="232">
        <f>$C16*E14</f>
        <v>0</v>
      </c>
      <c r="F16" s="228"/>
    </row>
    <row r="17" spans="1:15" ht="14.5" customHeight="1">
      <c r="A17" s="351" t="s">
        <v>121</v>
      </c>
      <c r="B17" s="343" t="s">
        <v>111</v>
      </c>
      <c r="C17" s="352"/>
      <c r="D17" s="111"/>
      <c r="E17" s="233">
        <f>$C17*E14</f>
        <v>0</v>
      </c>
      <c r="F17" s="228"/>
      <c r="H17" s="181" t="s">
        <v>108</v>
      </c>
      <c r="I17" s="504" t="s">
        <v>124</v>
      </c>
      <c r="J17" s="507"/>
      <c r="K17" s="507"/>
      <c r="L17" s="507"/>
      <c r="M17" s="507"/>
      <c r="N17" s="508"/>
    </row>
    <row r="18" spans="1:15" ht="13.15" customHeight="1">
      <c r="A18" s="346" t="s">
        <v>123</v>
      </c>
      <c r="B18" s="353"/>
      <c r="C18" s="122"/>
      <c r="D18" s="111"/>
      <c r="E18" s="230">
        <f>SUM(E14:E17)</f>
        <v>0</v>
      </c>
      <c r="F18" s="354">
        <f>IF(E18=0,0,E18/E$46)</f>
        <v>0</v>
      </c>
      <c r="H18" s="126"/>
      <c r="I18" s="247">
        <v>1</v>
      </c>
      <c r="J18" s="247">
        <v>2</v>
      </c>
      <c r="K18" s="247">
        <v>3</v>
      </c>
      <c r="L18" s="247">
        <v>4</v>
      </c>
      <c r="M18" s="247">
        <v>5</v>
      </c>
      <c r="N18" s="247">
        <v>6</v>
      </c>
      <c r="O18" s="216"/>
    </row>
    <row r="19" spans="1:15">
      <c r="A19" s="121"/>
      <c r="B19" s="349"/>
      <c r="C19" s="350"/>
      <c r="D19" s="111"/>
      <c r="E19" s="231"/>
      <c r="F19" s="228"/>
      <c r="H19" s="126" t="s">
        <v>117</v>
      </c>
      <c r="I19" s="358"/>
      <c r="J19" s="358"/>
      <c r="K19" s="358"/>
      <c r="L19" s="358"/>
      <c r="M19" s="358"/>
      <c r="N19" s="358"/>
      <c r="O19" s="216"/>
    </row>
    <row r="20" spans="1:15">
      <c r="A20" s="355" t="s">
        <v>125</v>
      </c>
      <c r="B20" s="356"/>
      <c r="C20" s="350"/>
      <c r="D20" s="124"/>
      <c r="E20" s="234">
        <f>E18*0.96</f>
        <v>0</v>
      </c>
      <c r="F20" s="235"/>
      <c r="H20" s="126" t="s">
        <v>118</v>
      </c>
      <c r="I20" s="358"/>
      <c r="J20" s="358"/>
      <c r="K20" s="358"/>
      <c r="L20" s="358"/>
      <c r="M20" s="358"/>
      <c r="N20" s="358"/>
      <c r="O20" s="243"/>
    </row>
    <row r="21" spans="1:15">
      <c r="A21" s="351" t="s">
        <v>126</v>
      </c>
      <c r="B21" s="356"/>
      <c r="C21" s="357" t="s">
        <v>127</v>
      </c>
      <c r="D21" s="111"/>
      <c r="E21" s="232" t="e">
        <f>E20*'5-Premies en opslagen'!$C24</f>
        <v>#DIV/0!</v>
      </c>
      <c r="F21" s="228"/>
      <c r="G21" s="125"/>
      <c r="H21" s="126" t="s">
        <v>120</v>
      </c>
      <c r="I21" s="358"/>
      <c r="J21" s="358"/>
      <c r="K21" s="358"/>
      <c r="L21" s="358"/>
      <c r="M21" s="358"/>
      <c r="N21" s="358"/>
      <c r="O21" s="216"/>
    </row>
    <row r="22" spans="1:15" s="12" customFormat="1">
      <c r="A22" s="346" t="s">
        <v>128</v>
      </c>
      <c r="B22" s="359"/>
      <c r="C22" s="122"/>
      <c r="D22" s="111"/>
      <c r="E22" s="230" t="e">
        <f>E21+E18</f>
        <v>#DIV/0!</v>
      </c>
      <c r="F22" s="354" t="e">
        <f>IF(E22=0,0,E22/E$46)</f>
        <v>#DIV/0!</v>
      </c>
      <c r="G22" s="56"/>
      <c r="H22" s="126" t="s">
        <v>122</v>
      </c>
      <c r="I22" s="358"/>
      <c r="J22" s="358"/>
      <c r="K22" s="358"/>
      <c r="L22" s="358"/>
      <c r="M22" s="358"/>
      <c r="N22" s="358"/>
      <c r="O22" s="216"/>
    </row>
    <row r="23" spans="1:15" ht="14.25" customHeight="1">
      <c r="A23" s="121"/>
      <c r="B23" s="353"/>
      <c r="C23" s="122"/>
      <c r="D23" s="111"/>
      <c r="E23" s="226"/>
      <c r="F23" s="228"/>
      <c r="H23" s="127" t="s">
        <v>134</v>
      </c>
      <c r="I23" s="362">
        <f t="shared" ref="I23:N23" si="0">SUM(I19:I22)</f>
        <v>0</v>
      </c>
      <c r="J23" s="362">
        <f t="shared" si="0"/>
        <v>0</v>
      </c>
      <c r="K23" s="362">
        <f t="shared" si="0"/>
        <v>0</v>
      </c>
      <c r="L23" s="362">
        <f t="shared" si="0"/>
        <v>0</v>
      </c>
      <c r="M23" s="362">
        <f t="shared" si="0"/>
        <v>0</v>
      </c>
      <c r="N23" s="362">
        <f t="shared" si="0"/>
        <v>0</v>
      </c>
      <c r="O23" s="363">
        <f>SUM(I23:N23)</f>
        <v>0</v>
      </c>
    </row>
    <row r="24" spans="1:15" ht="12.75" customHeight="1">
      <c r="A24" s="351" t="s">
        <v>129</v>
      </c>
      <c r="B24" s="356"/>
      <c r="C24" s="357" t="s">
        <v>127</v>
      </c>
      <c r="D24" s="111"/>
      <c r="E24" s="232" t="e">
        <f>E22*'5-Premies en opslagen'!$B53</f>
        <v>#DIV/0!</v>
      </c>
      <c r="F24" s="228"/>
    </row>
    <row r="25" spans="1:15" ht="12.75" customHeight="1">
      <c r="A25" s="346" t="s">
        <v>130</v>
      </c>
      <c r="B25" s="353"/>
      <c r="C25" s="122"/>
      <c r="D25" s="111"/>
      <c r="E25" s="230" t="e">
        <f>SUM(E22:E24)</f>
        <v>#DIV/0!</v>
      </c>
      <c r="F25" s="354" t="e">
        <f>IF(E25=0,0,E25/E$46)</f>
        <v>#DIV/0!</v>
      </c>
      <c r="H25" s="181" t="s">
        <v>108</v>
      </c>
      <c r="I25" s="499" t="s">
        <v>136</v>
      </c>
      <c r="J25" s="500"/>
      <c r="K25" s="500"/>
      <c r="L25" s="500"/>
      <c r="M25" s="500"/>
      <c r="N25" s="500"/>
    </row>
    <row r="26" spans="1:15">
      <c r="A26" s="121"/>
      <c r="B26" s="353"/>
      <c r="C26" s="122"/>
      <c r="D26" s="111"/>
      <c r="E26" s="226"/>
      <c r="F26" s="228"/>
      <c r="H26" s="249"/>
      <c r="I26" s="247">
        <v>1</v>
      </c>
      <c r="J26" s="247">
        <v>2</v>
      </c>
      <c r="K26" s="247">
        <v>3</v>
      </c>
      <c r="L26" s="247">
        <v>4</v>
      </c>
      <c r="M26" s="247">
        <v>5</v>
      </c>
      <c r="N26" s="247">
        <v>6</v>
      </c>
    </row>
    <row r="27" spans="1:15" ht="13.15" customHeight="1">
      <c r="A27" s="121" t="s">
        <v>131</v>
      </c>
      <c r="B27" s="360"/>
      <c r="C27" s="345" t="s">
        <v>132</v>
      </c>
      <c r="D27" s="111"/>
      <c r="E27" s="229"/>
      <c r="F27" s="228">
        <v>0</v>
      </c>
      <c r="H27" s="126" t="s">
        <v>117</v>
      </c>
      <c r="I27" s="408">
        <f t="shared" ref="I27:N30" si="1">I19*I12</f>
        <v>0</v>
      </c>
      <c r="J27" s="408">
        <f t="shared" si="1"/>
        <v>0</v>
      </c>
      <c r="K27" s="408">
        <f t="shared" si="1"/>
        <v>0</v>
      </c>
      <c r="L27" s="408">
        <f t="shared" si="1"/>
        <v>0</v>
      </c>
      <c r="M27" s="408">
        <f t="shared" si="1"/>
        <v>0</v>
      </c>
      <c r="N27" s="408">
        <f t="shared" si="1"/>
        <v>0</v>
      </c>
    </row>
    <row r="28" spans="1:15">
      <c r="A28" s="121" t="s">
        <v>133</v>
      </c>
      <c r="B28" s="361"/>
      <c r="C28" s="345" t="s">
        <v>132</v>
      </c>
      <c r="D28" s="111"/>
      <c r="E28" s="229"/>
      <c r="F28" s="228">
        <v>0</v>
      </c>
      <c r="H28" s="126" t="s">
        <v>118</v>
      </c>
      <c r="I28" s="408">
        <f t="shared" si="1"/>
        <v>0</v>
      </c>
      <c r="J28" s="408">
        <f t="shared" si="1"/>
        <v>0</v>
      </c>
      <c r="K28" s="408">
        <f t="shared" si="1"/>
        <v>0</v>
      </c>
      <c r="L28" s="408">
        <f t="shared" si="1"/>
        <v>0</v>
      </c>
      <c r="M28" s="408">
        <f t="shared" si="1"/>
        <v>0</v>
      </c>
      <c r="N28" s="408">
        <f t="shared" si="1"/>
        <v>0</v>
      </c>
    </row>
    <row r="29" spans="1:15">
      <c r="A29" s="351" t="s">
        <v>731</v>
      </c>
      <c r="B29" s="353"/>
      <c r="C29" s="122"/>
      <c r="D29" s="111"/>
      <c r="E29" s="229"/>
      <c r="F29" s="228"/>
      <c r="H29" s="126" t="s">
        <v>120</v>
      </c>
      <c r="I29" s="408">
        <f t="shared" si="1"/>
        <v>0</v>
      </c>
      <c r="J29" s="408">
        <f t="shared" si="1"/>
        <v>0</v>
      </c>
      <c r="K29" s="408">
        <f t="shared" si="1"/>
        <v>0</v>
      </c>
      <c r="L29" s="408">
        <f t="shared" si="1"/>
        <v>0</v>
      </c>
      <c r="M29" s="408">
        <f t="shared" si="1"/>
        <v>0</v>
      </c>
      <c r="N29" s="408">
        <f t="shared" si="1"/>
        <v>0</v>
      </c>
    </row>
    <row r="30" spans="1:15">
      <c r="A30" s="364"/>
      <c r="B30" s="365"/>
      <c r="C30" s="366" t="s">
        <v>109</v>
      </c>
      <c r="D30" s="111"/>
      <c r="E30" s="229"/>
      <c r="F30" s="228"/>
      <c r="H30" s="126" t="s">
        <v>122</v>
      </c>
      <c r="I30" s="408">
        <f t="shared" si="1"/>
        <v>0</v>
      </c>
      <c r="J30" s="408">
        <f t="shared" si="1"/>
        <v>0</v>
      </c>
      <c r="K30" s="408">
        <f t="shared" si="1"/>
        <v>0</v>
      </c>
      <c r="L30" s="408">
        <f t="shared" si="1"/>
        <v>0</v>
      </c>
      <c r="M30" s="408">
        <f t="shared" si="1"/>
        <v>0</v>
      </c>
      <c r="N30" s="408">
        <f t="shared" si="1"/>
        <v>0</v>
      </c>
    </row>
    <row r="31" spans="1:15" ht="12.75" customHeight="1">
      <c r="A31" s="346" t="s">
        <v>137</v>
      </c>
      <c r="B31" s="353"/>
      <c r="C31" s="122"/>
      <c r="D31" s="111"/>
      <c r="E31" s="230" t="e">
        <f>SUM(E25:E30)</f>
        <v>#DIV/0!</v>
      </c>
      <c r="F31" s="354" t="e">
        <f>IF(E31=0,0,E31/E$46)</f>
        <v>#DIV/0!</v>
      </c>
      <c r="H31" s="127" t="s">
        <v>134</v>
      </c>
      <c r="I31" s="379">
        <f t="shared" ref="I31:N31" si="2">SUM(I27:I30)</f>
        <v>0</v>
      </c>
      <c r="J31" s="379">
        <f t="shared" si="2"/>
        <v>0</v>
      </c>
      <c r="K31" s="379">
        <f t="shared" si="2"/>
        <v>0</v>
      </c>
      <c r="L31" s="379">
        <f t="shared" si="2"/>
        <v>0</v>
      </c>
      <c r="M31" s="379">
        <f t="shared" si="2"/>
        <v>0</v>
      </c>
      <c r="N31" s="379">
        <f t="shared" si="2"/>
        <v>0</v>
      </c>
    </row>
    <row r="32" spans="1:15" ht="12.75" customHeight="1">
      <c r="A32" s="121"/>
      <c r="B32" s="353"/>
      <c r="C32" s="122"/>
      <c r="D32" s="111"/>
      <c r="E32" s="226"/>
      <c r="F32" s="228"/>
    </row>
    <row r="33" spans="1:15" ht="12.75" customHeight="1">
      <c r="A33" s="121" t="s">
        <v>138</v>
      </c>
      <c r="B33" s="353"/>
      <c r="C33" s="367"/>
      <c r="D33" s="111"/>
      <c r="E33" s="229"/>
      <c r="F33" s="236" t="e">
        <f>E33/$E$46</f>
        <v>#DIV/0!</v>
      </c>
    </row>
    <row r="34" spans="1:15" ht="12.75" customHeight="1">
      <c r="A34" s="121" t="s">
        <v>139</v>
      </c>
      <c r="B34" s="353"/>
      <c r="C34" s="367"/>
      <c r="D34" s="111"/>
      <c r="E34" s="229"/>
      <c r="F34" s="236" t="e">
        <f t="shared" ref="F34:F40" si="3">E34/$E$46</f>
        <v>#DIV/0!</v>
      </c>
    </row>
    <row r="35" spans="1:15" ht="12.75" customHeight="1">
      <c r="A35" s="121" t="s">
        <v>140</v>
      </c>
      <c r="B35" s="353"/>
      <c r="C35" s="367"/>
      <c r="D35" s="111"/>
      <c r="E35" s="229"/>
      <c r="F35" s="236" t="e">
        <f t="shared" si="3"/>
        <v>#DIV/0!</v>
      </c>
    </row>
    <row r="36" spans="1:15" ht="14.25" customHeight="1">
      <c r="A36" s="121" t="s">
        <v>141</v>
      </c>
      <c r="B36" s="353"/>
      <c r="C36" s="368"/>
      <c r="D36" s="111"/>
      <c r="E36" s="229"/>
      <c r="F36" s="236" t="e">
        <f t="shared" si="3"/>
        <v>#DIV/0!</v>
      </c>
    </row>
    <row r="37" spans="1:15">
      <c r="A37" s="121" t="s">
        <v>142</v>
      </c>
      <c r="B37" s="353"/>
      <c r="C37" s="367"/>
      <c r="D37" s="111"/>
      <c r="E37" s="229"/>
      <c r="F37" s="236" t="e">
        <f t="shared" si="3"/>
        <v>#DIV/0!</v>
      </c>
    </row>
    <row r="38" spans="1:15">
      <c r="A38" s="121" t="s">
        <v>143</v>
      </c>
      <c r="B38" s="353"/>
      <c r="C38" s="368"/>
      <c r="D38" s="111"/>
      <c r="E38" s="229"/>
      <c r="F38" s="236" t="e">
        <f t="shared" si="3"/>
        <v>#DIV/0!</v>
      </c>
    </row>
    <row r="39" spans="1:15">
      <c r="A39" s="121" t="s">
        <v>144</v>
      </c>
      <c r="B39" s="353"/>
      <c r="C39" s="345" t="s">
        <v>132</v>
      </c>
      <c r="D39" s="111"/>
      <c r="E39" s="229"/>
      <c r="F39" s="236" t="e">
        <f t="shared" si="3"/>
        <v>#DIV/0!</v>
      </c>
    </row>
    <row r="40" spans="1:15">
      <c r="A40" s="121" t="s">
        <v>145</v>
      </c>
      <c r="B40" s="353"/>
      <c r="C40" s="345"/>
      <c r="D40" s="111"/>
      <c r="E40" s="229"/>
      <c r="F40" s="236" t="e">
        <f t="shared" si="3"/>
        <v>#DIV/0!</v>
      </c>
    </row>
    <row r="41" spans="1:15">
      <c r="A41" s="364"/>
      <c r="B41" s="365"/>
      <c r="C41" s="369"/>
      <c r="D41" s="111"/>
      <c r="E41" s="229"/>
      <c r="F41" s="228"/>
      <c r="H41" s="125"/>
      <c r="I41" s="125"/>
      <c r="J41" s="125"/>
      <c r="K41" s="125"/>
      <c r="L41" s="125"/>
      <c r="M41" s="125"/>
      <c r="N41" s="125"/>
      <c r="O41" s="125"/>
    </row>
    <row r="42" spans="1:15">
      <c r="A42" s="346" t="s">
        <v>146</v>
      </c>
      <c r="B42" s="353"/>
      <c r="C42" s="122"/>
      <c r="D42" s="111"/>
      <c r="E42" s="230" t="e">
        <f>SUM(E31:E41)</f>
        <v>#DIV/0!</v>
      </c>
      <c r="F42" s="354" t="e">
        <f>IF(E42=0,0,E42/E$46)</f>
        <v>#DIV/0!</v>
      </c>
      <c r="H42" s="125"/>
      <c r="I42" s="125"/>
      <c r="J42" s="125"/>
      <c r="K42" s="125"/>
      <c r="L42" s="125"/>
      <c r="M42" s="125"/>
      <c r="N42" s="125"/>
      <c r="O42" s="125"/>
    </row>
    <row r="43" spans="1:15" ht="43.5">
      <c r="A43" s="121"/>
      <c r="B43" s="353"/>
      <c r="C43" s="122"/>
      <c r="D43" s="111"/>
      <c r="E43" s="226"/>
      <c r="F43" s="237"/>
      <c r="H43" s="377" t="s">
        <v>147</v>
      </c>
      <c r="I43" s="338"/>
      <c r="J43" s="339"/>
      <c r="K43" s="182" t="s">
        <v>107</v>
      </c>
      <c r="L43" s="125"/>
      <c r="M43" s="125"/>
      <c r="N43" s="125"/>
    </row>
    <row r="44" spans="1:15">
      <c r="A44" s="121" t="s">
        <v>148</v>
      </c>
      <c r="B44" s="353"/>
      <c r="C44" s="368"/>
      <c r="D44" s="111"/>
      <c r="E44" s="229"/>
      <c r="F44" s="354">
        <f>(IF(E44=0,0,E44/E$46))</f>
        <v>0</v>
      </c>
      <c r="H44" s="126"/>
      <c r="I44" s="340" t="s">
        <v>109</v>
      </c>
      <c r="J44" s="341" t="s">
        <v>109</v>
      </c>
      <c r="K44" s="226"/>
      <c r="L44" s="125"/>
      <c r="M44" s="125"/>
      <c r="N44" s="125"/>
    </row>
    <row r="45" spans="1:15">
      <c r="A45" s="121"/>
      <c r="B45" s="370"/>
      <c r="C45" s="122"/>
      <c r="D45" s="111"/>
      <c r="E45" s="226"/>
      <c r="F45" s="228"/>
      <c r="H45" s="129" t="s">
        <v>116</v>
      </c>
      <c r="I45" s="130"/>
      <c r="J45" s="131"/>
      <c r="K45" s="230">
        <f>E14</f>
        <v>0</v>
      </c>
      <c r="L45" s="125"/>
      <c r="M45" s="125"/>
      <c r="N45" s="125"/>
    </row>
    <row r="46" spans="1:15">
      <c r="A46" s="346" t="s">
        <v>149</v>
      </c>
      <c r="B46" s="371"/>
      <c r="C46" s="372"/>
      <c r="D46" s="111"/>
      <c r="E46" s="238" t="e">
        <f>SUM(E42:E45)</f>
        <v>#DIV/0!</v>
      </c>
      <c r="F46" s="239" t="e">
        <f>SUM(F42:F45)</f>
        <v>#DIV/0!</v>
      </c>
      <c r="H46" s="132" t="s">
        <v>119</v>
      </c>
      <c r="I46" s="133"/>
      <c r="J46" s="134"/>
      <c r="K46" s="232">
        <f>E16</f>
        <v>0</v>
      </c>
      <c r="L46" s="125"/>
      <c r="M46" s="125"/>
      <c r="N46" s="125"/>
    </row>
    <row r="47" spans="1:15">
      <c r="B47" s="128"/>
      <c r="C47" s="373"/>
      <c r="D47" s="111"/>
      <c r="E47" s="216"/>
      <c r="F47" s="240"/>
      <c r="H47" s="351" t="s">
        <v>121</v>
      </c>
      <c r="I47" s="133"/>
      <c r="J47" s="134"/>
      <c r="K47" s="233">
        <f>E17</f>
        <v>0</v>
      </c>
      <c r="L47" s="125"/>
      <c r="M47" s="125"/>
      <c r="N47" s="125"/>
      <c r="O47" s="125"/>
    </row>
    <row r="48" spans="1:15">
      <c r="A48" s="374" t="s">
        <v>150</v>
      </c>
      <c r="B48" s="375"/>
      <c r="C48" s="376"/>
      <c r="D48" s="125"/>
      <c r="E48" s="241" t="e">
        <f>(E$25*1.3)+($E$46-$E$25)</f>
        <v>#DIV/0!</v>
      </c>
      <c r="F48" s="242"/>
      <c r="H48" s="351" t="s">
        <v>126</v>
      </c>
      <c r="I48" s="133"/>
      <c r="J48" s="134"/>
      <c r="K48" s="232" t="e">
        <f>E21</f>
        <v>#DIV/0!</v>
      </c>
      <c r="L48" s="125"/>
      <c r="M48" s="125"/>
      <c r="N48" s="125"/>
      <c r="O48" s="125"/>
    </row>
    <row r="49" spans="1:15">
      <c r="A49" s="125"/>
      <c r="B49" s="135"/>
      <c r="C49" s="136"/>
      <c r="D49" s="125"/>
      <c r="E49" s="243"/>
      <c r="F49" s="243"/>
      <c r="G49" s="125"/>
      <c r="H49" s="351" t="s">
        <v>129</v>
      </c>
      <c r="I49" s="356"/>
      <c r="J49" s="357"/>
      <c r="K49" s="232" t="e">
        <f>E24</f>
        <v>#DIV/0!</v>
      </c>
      <c r="L49" s="125"/>
      <c r="M49" s="125"/>
      <c r="N49" s="125"/>
      <c r="O49" s="125"/>
    </row>
    <row r="50" spans="1:15" s="12" customFormat="1">
      <c r="A50" s="374" t="s">
        <v>151</v>
      </c>
      <c r="B50" s="375"/>
      <c r="C50" s="376"/>
      <c r="D50" s="125"/>
      <c r="E50" s="241" t="e">
        <f>(E$25*1.5)+($E$46-$E$25)</f>
        <v>#DIV/0!</v>
      </c>
      <c r="F50" s="242"/>
      <c r="G50" s="125"/>
      <c r="H50" s="121" t="s">
        <v>131</v>
      </c>
      <c r="I50" s="360"/>
      <c r="J50" s="345"/>
      <c r="K50" s="227">
        <f>E27</f>
        <v>0</v>
      </c>
      <c r="L50" s="125"/>
      <c r="M50" s="125"/>
      <c r="N50" s="125"/>
      <c r="O50" s="125"/>
    </row>
    <row r="51" spans="1:15" s="12" customFormat="1">
      <c r="A51" s="125"/>
      <c r="B51" s="135"/>
      <c r="C51" s="136"/>
      <c r="D51" s="125"/>
      <c r="E51" s="243"/>
      <c r="F51" s="243"/>
      <c r="G51" s="125"/>
      <c r="H51" s="121" t="s">
        <v>133</v>
      </c>
      <c r="I51" s="361"/>
      <c r="J51" s="345"/>
      <c r="K51" s="227">
        <f t="shared" ref="K51:K52" si="4">E28</f>
        <v>0</v>
      </c>
      <c r="L51" s="125"/>
      <c r="M51" s="56"/>
      <c r="N51" s="125"/>
      <c r="O51" s="125"/>
    </row>
    <row r="52" spans="1:15" s="12" customFormat="1">
      <c r="A52" s="374" t="s">
        <v>152</v>
      </c>
      <c r="B52" s="375"/>
      <c r="C52" s="376"/>
      <c r="D52" s="125"/>
      <c r="E52" s="241" t="e">
        <f>(E$25*2.5)+($E$46-$E$25)</f>
        <v>#DIV/0!</v>
      </c>
      <c r="F52" s="243"/>
      <c r="G52" s="125"/>
      <c r="H52" s="121" t="s">
        <v>135</v>
      </c>
      <c r="I52" s="353"/>
      <c r="J52" s="122" t="s">
        <v>109</v>
      </c>
      <c r="K52" s="227">
        <f t="shared" si="4"/>
        <v>0</v>
      </c>
      <c r="L52" s="125"/>
      <c r="M52" s="56"/>
      <c r="N52" s="125"/>
      <c r="O52" s="125"/>
    </row>
    <row r="53" spans="1:15" s="12" customFormat="1">
      <c r="A53" s="125"/>
      <c r="B53" s="135"/>
      <c r="C53" s="137"/>
      <c r="D53" s="125"/>
      <c r="E53" s="125"/>
      <c r="F53" s="138"/>
      <c r="G53" s="125"/>
      <c r="H53" s="121" t="s">
        <v>138</v>
      </c>
      <c r="I53" s="353"/>
      <c r="J53" s="367"/>
      <c r="K53" s="227">
        <f>E33</f>
        <v>0</v>
      </c>
      <c r="L53" s="125"/>
      <c r="M53" s="56"/>
      <c r="N53" s="125"/>
      <c r="O53" s="125"/>
    </row>
    <row r="54" spans="1:15" s="12" customFormat="1">
      <c r="A54" s="125"/>
      <c r="B54" s="135"/>
      <c r="C54" s="137"/>
      <c r="D54" s="125"/>
      <c r="E54" s="125"/>
      <c r="F54" s="138"/>
      <c r="G54" s="125"/>
      <c r="H54" s="121" t="s">
        <v>139</v>
      </c>
      <c r="I54" s="353"/>
      <c r="J54" s="367"/>
      <c r="K54" s="227">
        <f t="shared" ref="K54:K60" si="5">E34</f>
        <v>0</v>
      </c>
      <c r="L54" s="125"/>
      <c r="M54" s="56"/>
      <c r="N54" s="125"/>
      <c r="O54" s="125"/>
    </row>
    <row r="55" spans="1:15" s="12" customFormat="1">
      <c r="A55" s="125"/>
      <c r="B55" s="125"/>
      <c r="C55" s="139"/>
      <c r="D55" s="125"/>
      <c r="E55" s="125"/>
      <c r="F55" s="138"/>
      <c r="G55" s="125"/>
      <c r="H55" s="121" t="s">
        <v>140</v>
      </c>
      <c r="I55" s="353"/>
      <c r="J55" s="367"/>
      <c r="K55" s="227">
        <f t="shared" si="5"/>
        <v>0</v>
      </c>
      <c r="L55" s="125"/>
      <c r="M55" s="56"/>
      <c r="N55" s="125"/>
      <c r="O55" s="125"/>
    </row>
    <row r="56" spans="1:15" s="12" customFormat="1">
      <c r="A56" s="125"/>
      <c r="B56" s="125"/>
      <c r="C56" s="139"/>
      <c r="D56" s="125"/>
      <c r="E56" s="125"/>
      <c r="F56" s="138"/>
      <c r="G56" s="125"/>
      <c r="H56" s="121" t="s">
        <v>141</v>
      </c>
      <c r="I56" s="353"/>
      <c r="J56" s="368"/>
      <c r="K56" s="227">
        <f t="shared" si="5"/>
        <v>0</v>
      </c>
      <c r="L56" s="125"/>
      <c r="M56" s="56"/>
      <c r="N56" s="125"/>
      <c r="O56" s="125"/>
    </row>
    <row r="57" spans="1:15" s="12" customFormat="1">
      <c r="A57" s="56"/>
      <c r="B57" s="125"/>
      <c r="C57" s="139"/>
      <c r="D57" s="125"/>
      <c r="E57" s="125"/>
      <c r="F57" s="138"/>
      <c r="G57" s="125"/>
      <c r="H57" s="121" t="s">
        <v>142</v>
      </c>
      <c r="I57" s="353"/>
      <c r="J57" s="367"/>
      <c r="K57" s="227">
        <f t="shared" si="5"/>
        <v>0</v>
      </c>
      <c r="L57" s="125"/>
      <c r="M57" s="56"/>
      <c r="N57" s="125"/>
      <c r="O57" s="125"/>
    </row>
    <row r="58" spans="1:15" s="12" customFormat="1">
      <c r="A58" s="125"/>
      <c r="B58" s="125"/>
      <c r="C58" s="139"/>
      <c r="D58" s="125"/>
      <c r="E58" s="125"/>
      <c r="F58" s="138"/>
      <c r="G58" s="125"/>
      <c r="H58" s="121" t="s">
        <v>143</v>
      </c>
      <c r="I58" s="353"/>
      <c r="J58" s="368"/>
      <c r="K58" s="227">
        <f t="shared" si="5"/>
        <v>0</v>
      </c>
      <c r="L58" s="125"/>
      <c r="M58" s="56"/>
      <c r="N58" s="56"/>
      <c r="O58" s="125"/>
    </row>
    <row r="59" spans="1:15" s="12" customFormat="1">
      <c r="A59" s="125"/>
      <c r="B59" s="125"/>
      <c r="C59" s="139"/>
      <c r="D59" s="125"/>
      <c r="E59" s="125"/>
      <c r="F59" s="138"/>
      <c r="G59" s="125"/>
      <c r="H59" s="121" t="s">
        <v>144</v>
      </c>
      <c r="I59" s="353"/>
      <c r="J59" s="345"/>
      <c r="K59" s="227">
        <f t="shared" si="5"/>
        <v>0</v>
      </c>
      <c r="L59" s="125"/>
      <c r="M59" s="56"/>
      <c r="N59" s="56"/>
      <c r="O59" s="125"/>
    </row>
    <row r="60" spans="1:15" s="12" customFormat="1">
      <c r="A60" s="125"/>
      <c r="B60" s="125"/>
      <c r="C60" s="139"/>
      <c r="D60" s="125"/>
      <c r="E60" s="125"/>
      <c r="F60" s="138"/>
      <c r="G60" s="125"/>
      <c r="H60" s="121" t="s">
        <v>145</v>
      </c>
      <c r="I60" s="353"/>
      <c r="J60" s="345"/>
      <c r="K60" s="227">
        <f t="shared" si="5"/>
        <v>0</v>
      </c>
      <c r="L60" s="125"/>
      <c r="M60" s="56"/>
      <c r="N60" s="56"/>
      <c r="O60" s="125"/>
    </row>
    <row r="61" spans="1:15" s="12" customFormat="1">
      <c r="A61" s="125"/>
      <c r="B61" s="125"/>
      <c r="C61" s="139"/>
      <c r="D61" s="125"/>
      <c r="E61" s="125"/>
      <c r="F61" s="138"/>
      <c r="G61" s="125"/>
      <c r="H61" s="121" t="s">
        <v>148</v>
      </c>
      <c r="I61" s="353"/>
      <c r="J61" s="368"/>
      <c r="K61" s="227">
        <f>E44</f>
        <v>0</v>
      </c>
      <c r="L61" s="125"/>
      <c r="M61" s="56"/>
      <c r="N61" s="56"/>
      <c r="O61" s="125"/>
    </row>
    <row r="62" spans="1:15" s="12" customFormat="1">
      <c r="A62" s="125"/>
      <c r="B62" s="125"/>
      <c r="C62" s="139"/>
      <c r="D62" s="125"/>
      <c r="E62" s="125"/>
      <c r="F62" s="138"/>
      <c r="G62" s="125"/>
      <c r="H62" s="121"/>
      <c r="I62" s="370"/>
      <c r="J62" s="122"/>
      <c r="K62" s="226"/>
      <c r="L62" s="125"/>
      <c r="M62" s="56"/>
      <c r="N62" s="56"/>
      <c r="O62" s="125"/>
    </row>
    <row r="63" spans="1:15" s="12" customFormat="1">
      <c r="A63" s="125"/>
      <c r="B63" s="125"/>
      <c r="C63" s="139"/>
      <c r="D63" s="125"/>
      <c r="E63" s="125"/>
      <c r="F63" s="138"/>
      <c r="G63" s="125"/>
      <c r="H63" s="346" t="s">
        <v>149</v>
      </c>
      <c r="I63" s="371"/>
      <c r="J63" s="372"/>
      <c r="K63" s="238" t="e">
        <f>SUM(K45:K62)</f>
        <v>#DIV/0!</v>
      </c>
      <c r="L63" s="125"/>
      <c r="M63" s="56"/>
      <c r="N63" s="56"/>
      <c r="O63" s="125"/>
    </row>
    <row r="64" spans="1:15" s="12" customFormat="1">
      <c r="A64" s="125"/>
      <c r="B64" s="125"/>
      <c r="C64" s="139"/>
      <c r="D64" s="125"/>
      <c r="E64" s="56"/>
      <c r="F64" s="138"/>
      <c r="G64" s="125"/>
      <c r="H64" s="56"/>
      <c r="I64" s="128"/>
      <c r="J64" s="373"/>
      <c r="K64" s="216"/>
      <c r="L64" s="125"/>
      <c r="M64" s="56"/>
      <c r="N64" s="56"/>
      <c r="O64" s="56"/>
    </row>
    <row r="65" spans="1:15" s="12" customFormat="1">
      <c r="A65" s="56"/>
      <c r="B65" s="56"/>
      <c r="C65" s="56"/>
      <c r="D65" s="56"/>
      <c r="E65" s="56"/>
      <c r="F65" s="56"/>
      <c r="G65" s="125"/>
      <c r="H65" s="374" t="s">
        <v>150</v>
      </c>
      <c r="I65" s="375"/>
      <c r="J65" s="376"/>
      <c r="K65" s="241" t="e">
        <f>E48</f>
        <v>#DIV/0!</v>
      </c>
      <c r="L65" s="125"/>
      <c r="M65" s="56"/>
      <c r="N65" s="56"/>
      <c r="O65" s="56"/>
    </row>
    <row r="66" spans="1:15">
      <c r="H66" s="125"/>
      <c r="I66" s="135"/>
      <c r="J66" s="136"/>
      <c r="K66" s="243"/>
      <c r="L66" s="125"/>
    </row>
    <row r="67" spans="1:15">
      <c r="H67" s="374" t="s">
        <v>151</v>
      </c>
      <c r="I67" s="375"/>
      <c r="J67" s="376"/>
      <c r="K67" s="241" t="e">
        <f>E50</f>
        <v>#DIV/0!</v>
      </c>
      <c r="L67" s="125"/>
    </row>
    <row r="68" spans="1:15">
      <c r="H68" s="125"/>
      <c r="I68" s="135"/>
      <c r="J68" s="136"/>
      <c r="K68" s="243"/>
      <c r="L68" s="125"/>
    </row>
    <row r="69" spans="1:15">
      <c r="H69" s="374" t="s">
        <v>152</v>
      </c>
      <c r="I69" s="375"/>
      <c r="J69" s="376"/>
      <c r="K69" s="241" t="e">
        <f>E52</f>
        <v>#DIV/0!</v>
      </c>
      <c r="L69" s="125"/>
    </row>
    <row r="70" spans="1:15">
      <c r="L70" s="125"/>
      <c r="O70" s="125"/>
    </row>
    <row r="71" spans="1:15">
      <c r="O71" s="125"/>
    </row>
    <row r="72" spans="1:15">
      <c r="O72" s="125"/>
    </row>
    <row r="73" spans="1:15">
      <c r="O73" s="125"/>
    </row>
    <row r="74" spans="1:15">
      <c r="O74" s="125"/>
    </row>
    <row r="75" spans="1:15">
      <c r="O75" s="125"/>
    </row>
    <row r="76" spans="1:15">
      <c r="O76" s="125"/>
    </row>
  </sheetData>
  <mergeCells count="7">
    <mergeCell ref="I25:N25"/>
    <mergeCell ref="I17:N17"/>
    <mergeCell ref="E10:F10"/>
    <mergeCell ref="I10:N10"/>
    <mergeCell ref="H1:N2"/>
    <mergeCell ref="H3:N3"/>
    <mergeCell ref="H4:N5"/>
  </mergeCells>
  <conditionalFormatting sqref="O23">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1" fitToHeight="0" orientation="landscape" r:id="rId1"/>
  <headerFooter>
    <oddFooter>&amp;L&amp;"Georgia,Standaard"&amp;F-&amp;A&amp;R&amp;"Georgia,Standaard"&amp;11printversie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P56"/>
  <sheetViews>
    <sheetView showGridLines="0" zoomScaleNormal="100" workbookViewId="0"/>
  </sheetViews>
  <sheetFormatPr defaultColWidth="9.1796875" defaultRowHeight="13"/>
  <cols>
    <col min="1" max="1" width="39.26953125" style="437" bestFit="1" customWidth="1"/>
    <col min="2" max="2" width="59.26953125" style="437" bestFit="1" customWidth="1"/>
    <col min="3" max="3" width="15" style="437" customWidth="1"/>
    <col min="4" max="4" width="15.26953125" style="437" customWidth="1"/>
    <col min="5" max="5" width="12.81640625" style="437" customWidth="1"/>
    <col min="6" max="6" width="12.26953125" style="437" bestFit="1" customWidth="1"/>
    <col min="7" max="7" width="13.7265625" style="437" bestFit="1" customWidth="1"/>
    <col min="8" max="8" width="4" style="438" customWidth="1"/>
    <col min="9" max="9" width="19.26953125" style="438" customWidth="1"/>
    <col min="10" max="10" width="19.81640625" style="438" customWidth="1"/>
    <col min="11" max="11" width="9.453125" style="438" customWidth="1"/>
    <col min="12" max="12" width="14.26953125" style="438" customWidth="1"/>
    <col min="13" max="14" width="9.1796875" style="438"/>
    <col min="15" max="15" width="13.1796875" style="438" customWidth="1"/>
    <col min="16" max="16" width="9.81640625" style="438" bestFit="1" customWidth="1"/>
    <col min="17" max="16384" width="9.1796875" style="438"/>
  </cols>
  <sheetData>
    <row r="1" spans="1:10" ht="15.5">
      <c r="A1" s="436" t="s">
        <v>4</v>
      </c>
      <c r="C1" s="183" t="s">
        <v>155</v>
      </c>
      <c r="D1" s="184"/>
      <c r="E1" s="184"/>
      <c r="F1" s="185"/>
      <c r="G1" s="186" t="s">
        <v>156</v>
      </c>
    </row>
    <row r="2" spans="1:10">
      <c r="A2" s="439"/>
      <c r="C2" s="440" t="s">
        <v>728</v>
      </c>
      <c r="D2" s="441"/>
      <c r="E2" s="441"/>
      <c r="F2" s="442"/>
      <c r="G2" s="443"/>
    </row>
    <row r="3" spans="1:10" ht="15.5">
      <c r="A3" s="444" t="str">
        <f>'2-Kosten per locatie'!A3</f>
        <v>Naam opdrachtgever</v>
      </c>
      <c r="B3" s="445" t="str">
        <f>'2-Kosten per locatie'!B3</f>
        <v>Zaan Primair</v>
      </c>
    </row>
    <row r="4" spans="1:10" ht="15.5">
      <c r="A4" s="444" t="str">
        <f>'2-Kosten per locatie'!A4</f>
        <v>Calculatie onderdeel</v>
      </c>
      <c r="B4" s="109" t="str">
        <f ca="1">MID(CELL("bestandsnaam",$C$9),SEARCH("]",CELL("bestandsnaam",$C$9),1)+1,256)</f>
        <v>8-Additionele kosten</v>
      </c>
    </row>
    <row r="5" spans="1:10" ht="15.5">
      <c r="A5" s="444" t="str">
        <f>'2-Kosten per locatie'!A5</f>
        <v>Gebouw/plaats</v>
      </c>
      <c r="B5" s="445" t="str">
        <f>'2-Kosten per locatie'!B5</f>
        <v>Divers</v>
      </c>
    </row>
    <row r="6" spans="1:10" ht="15.5">
      <c r="A6" s="444" t="str">
        <f>'2-Kosten per locatie'!A6</f>
        <v>Referentie nummer</v>
      </c>
      <c r="B6" s="445" t="str">
        <f>'2-Kosten per locatie'!B6</f>
        <v>Perceel 1 (Noordelijk gebied)</v>
      </c>
    </row>
    <row r="7" spans="1:10" ht="15" customHeight="1">
      <c r="A7" s="444" t="str">
        <f>'2-Kosten per locatie'!A7</f>
        <v>Naam dienstverlener</v>
      </c>
      <c r="B7" s="445">
        <f>'2-Kosten per locatie'!B7</f>
        <v>0</v>
      </c>
      <c r="J7" s="446"/>
    </row>
    <row r="8" spans="1:10" ht="15.5">
      <c r="A8" s="444" t="str">
        <f>'2-Kosten per locatie'!A8</f>
        <v>Prijspeil</v>
      </c>
      <c r="B8" s="447">
        <f>'2-Kosten per locatie'!B8</f>
        <v>46388</v>
      </c>
      <c r="J8" s="446"/>
    </row>
    <row r="9" spans="1:10">
      <c r="J9" s="446"/>
    </row>
    <row r="10" spans="1:10" ht="31">
      <c r="A10" s="380" t="s">
        <v>15</v>
      </c>
      <c r="B10" s="380" t="s">
        <v>157</v>
      </c>
      <c r="C10" s="380" t="s">
        <v>158</v>
      </c>
      <c r="D10" s="380" t="s">
        <v>159</v>
      </c>
      <c r="E10" s="380" t="s">
        <v>160</v>
      </c>
      <c r="F10" s="380" t="s">
        <v>161</v>
      </c>
      <c r="G10" s="380" t="s">
        <v>162</v>
      </c>
      <c r="J10" s="446"/>
    </row>
    <row r="11" spans="1:10">
      <c r="A11" s="448" t="s">
        <v>204</v>
      </c>
      <c r="B11" s="449" t="s">
        <v>729</v>
      </c>
      <c r="C11" s="450">
        <v>1</v>
      </c>
      <c r="D11" s="451"/>
      <c r="E11" s="452">
        <f t="shared" ref="E11:E28" si="0">D11*C11</f>
        <v>0</v>
      </c>
      <c r="F11" s="453">
        <f t="shared" ref="F11:F28" si="1">$G$2</f>
        <v>0</v>
      </c>
      <c r="G11" s="454">
        <f t="shared" ref="G11:G28" si="2">F11*E11</f>
        <v>0</v>
      </c>
      <c r="J11" s="446"/>
    </row>
    <row r="12" spans="1:10">
      <c r="A12" s="448" t="s">
        <v>203</v>
      </c>
      <c r="B12" s="449" t="s">
        <v>729</v>
      </c>
      <c r="C12" s="450">
        <v>1</v>
      </c>
      <c r="D12" s="451"/>
      <c r="E12" s="452">
        <f t="shared" si="0"/>
        <v>0</v>
      </c>
      <c r="F12" s="453">
        <f t="shared" si="1"/>
        <v>0</v>
      </c>
      <c r="G12" s="454">
        <f t="shared" si="2"/>
        <v>0</v>
      </c>
      <c r="J12" s="446"/>
    </row>
    <row r="13" spans="1:10">
      <c r="A13" s="448" t="s">
        <v>205</v>
      </c>
      <c r="B13" s="449" t="s">
        <v>729</v>
      </c>
      <c r="C13" s="450">
        <v>1</v>
      </c>
      <c r="D13" s="451"/>
      <c r="E13" s="452">
        <f t="shared" si="0"/>
        <v>0</v>
      </c>
      <c r="F13" s="453">
        <f t="shared" si="1"/>
        <v>0</v>
      </c>
      <c r="G13" s="454">
        <f t="shared" si="2"/>
        <v>0</v>
      </c>
      <c r="J13" s="446"/>
    </row>
    <row r="14" spans="1:10">
      <c r="A14" s="448" t="s">
        <v>210</v>
      </c>
      <c r="B14" s="449" t="s">
        <v>729</v>
      </c>
      <c r="C14" s="450">
        <v>1</v>
      </c>
      <c r="D14" s="451"/>
      <c r="E14" s="452">
        <f t="shared" si="0"/>
        <v>0</v>
      </c>
      <c r="F14" s="453">
        <f t="shared" si="1"/>
        <v>0</v>
      </c>
      <c r="G14" s="454">
        <f t="shared" si="2"/>
        <v>0</v>
      </c>
      <c r="J14" s="446"/>
    </row>
    <row r="15" spans="1:10">
      <c r="A15" s="418" t="s">
        <v>712</v>
      </c>
      <c r="B15" s="449" t="s">
        <v>729</v>
      </c>
      <c r="C15" s="450">
        <v>1</v>
      </c>
      <c r="D15" s="451"/>
      <c r="E15" s="452">
        <f t="shared" si="0"/>
        <v>0</v>
      </c>
      <c r="F15" s="453">
        <f t="shared" si="1"/>
        <v>0</v>
      </c>
      <c r="G15" s="454">
        <f t="shared" si="2"/>
        <v>0</v>
      </c>
      <c r="J15" s="446"/>
    </row>
    <row r="16" spans="1:10">
      <c r="A16" s="448" t="s">
        <v>211</v>
      </c>
      <c r="B16" s="449" t="s">
        <v>729</v>
      </c>
      <c r="C16" s="450">
        <v>1</v>
      </c>
      <c r="D16" s="451"/>
      <c r="E16" s="452">
        <f t="shared" si="0"/>
        <v>0</v>
      </c>
      <c r="F16" s="453">
        <f t="shared" si="1"/>
        <v>0</v>
      </c>
      <c r="G16" s="454">
        <f t="shared" si="2"/>
        <v>0</v>
      </c>
      <c r="J16" s="446"/>
    </row>
    <row r="17" spans="1:10">
      <c r="A17" s="448" t="s">
        <v>212</v>
      </c>
      <c r="B17" s="449" t="s">
        <v>729</v>
      </c>
      <c r="C17" s="450">
        <v>1</v>
      </c>
      <c r="D17" s="451"/>
      <c r="E17" s="452">
        <f t="shared" si="0"/>
        <v>0</v>
      </c>
      <c r="F17" s="453">
        <f t="shared" si="1"/>
        <v>0</v>
      </c>
      <c r="G17" s="454">
        <f t="shared" si="2"/>
        <v>0</v>
      </c>
      <c r="J17" s="446"/>
    </row>
    <row r="18" spans="1:10">
      <c r="A18" s="448" t="s">
        <v>213</v>
      </c>
      <c r="B18" s="449" t="s">
        <v>729</v>
      </c>
      <c r="C18" s="450">
        <v>1</v>
      </c>
      <c r="D18" s="451"/>
      <c r="E18" s="452">
        <f t="shared" si="0"/>
        <v>0</v>
      </c>
      <c r="F18" s="453">
        <f t="shared" si="1"/>
        <v>0</v>
      </c>
      <c r="G18" s="454">
        <f t="shared" si="2"/>
        <v>0</v>
      </c>
      <c r="J18" s="446"/>
    </row>
    <row r="19" spans="1:10">
      <c r="A19" s="448" t="s">
        <v>214</v>
      </c>
      <c r="B19" s="449" t="s">
        <v>729</v>
      </c>
      <c r="C19" s="450">
        <v>1</v>
      </c>
      <c r="D19" s="451"/>
      <c r="E19" s="452">
        <f t="shared" si="0"/>
        <v>0</v>
      </c>
      <c r="F19" s="453">
        <f t="shared" si="1"/>
        <v>0</v>
      </c>
      <c r="G19" s="454">
        <f t="shared" si="2"/>
        <v>0</v>
      </c>
      <c r="J19" s="446"/>
    </row>
    <row r="20" spans="1:10">
      <c r="A20" s="448" t="s">
        <v>215</v>
      </c>
      <c r="B20" s="449" t="s">
        <v>729</v>
      </c>
      <c r="C20" s="450">
        <v>1</v>
      </c>
      <c r="D20" s="451"/>
      <c r="E20" s="452">
        <f t="shared" si="0"/>
        <v>0</v>
      </c>
      <c r="F20" s="453">
        <f t="shared" si="1"/>
        <v>0</v>
      </c>
      <c r="G20" s="454">
        <f t="shared" si="2"/>
        <v>0</v>
      </c>
      <c r="J20" s="446"/>
    </row>
    <row r="21" spans="1:10">
      <c r="A21" s="448" t="s">
        <v>216</v>
      </c>
      <c r="B21" s="449" t="s">
        <v>729</v>
      </c>
      <c r="C21" s="450">
        <v>1</v>
      </c>
      <c r="D21" s="451"/>
      <c r="E21" s="452">
        <f t="shared" si="0"/>
        <v>0</v>
      </c>
      <c r="F21" s="453">
        <f t="shared" si="1"/>
        <v>0</v>
      </c>
      <c r="G21" s="454">
        <f t="shared" si="2"/>
        <v>0</v>
      </c>
      <c r="J21" s="446"/>
    </row>
    <row r="22" spans="1:10">
      <c r="A22" s="448" t="s">
        <v>218</v>
      </c>
      <c r="B22" s="449" t="s">
        <v>729</v>
      </c>
      <c r="C22" s="450">
        <v>1</v>
      </c>
      <c r="D22" s="451"/>
      <c r="E22" s="452">
        <f t="shared" si="0"/>
        <v>0</v>
      </c>
      <c r="F22" s="453">
        <f t="shared" si="1"/>
        <v>0</v>
      </c>
      <c r="G22" s="454">
        <f t="shared" si="2"/>
        <v>0</v>
      </c>
      <c r="J22" s="446"/>
    </row>
    <row r="23" spans="1:10">
      <c r="A23" s="448" t="s">
        <v>219</v>
      </c>
      <c r="B23" s="449" t="s">
        <v>729</v>
      </c>
      <c r="C23" s="450">
        <v>1</v>
      </c>
      <c r="D23" s="451"/>
      <c r="E23" s="452">
        <f t="shared" si="0"/>
        <v>0</v>
      </c>
      <c r="F23" s="453">
        <f t="shared" si="1"/>
        <v>0</v>
      </c>
      <c r="G23" s="454">
        <f t="shared" si="2"/>
        <v>0</v>
      </c>
      <c r="J23" s="446"/>
    </row>
    <row r="24" spans="1:10">
      <c r="A24" s="448" t="s">
        <v>207</v>
      </c>
      <c r="B24" s="449" t="s">
        <v>729</v>
      </c>
      <c r="C24" s="450">
        <v>1</v>
      </c>
      <c r="D24" s="451"/>
      <c r="E24" s="452">
        <f t="shared" si="0"/>
        <v>0</v>
      </c>
      <c r="F24" s="453">
        <f t="shared" si="1"/>
        <v>0</v>
      </c>
      <c r="G24" s="454">
        <f t="shared" si="2"/>
        <v>0</v>
      </c>
      <c r="J24" s="446"/>
    </row>
    <row r="25" spans="1:10">
      <c r="A25" s="448" t="s">
        <v>208</v>
      </c>
      <c r="B25" s="449" t="s">
        <v>729</v>
      </c>
      <c r="C25" s="450">
        <v>1</v>
      </c>
      <c r="D25" s="451"/>
      <c r="E25" s="452">
        <f t="shared" si="0"/>
        <v>0</v>
      </c>
      <c r="F25" s="453">
        <f t="shared" si="1"/>
        <v>0</v>
      </c>
      <c r="G25" s="454">
        <f t="shared" si="2"/>
        <v>0</v>
      </c>
      <c r="J25" s="446"/>
    </row>
    <row r="26" spans="1:10">
      <c r="A26" s="448" t="s">
        <v>206</v>
      </c>
      <c r="B26" s="449" t="s">
        <v>729</v>
      </c>
      <c r="C26" s="450">
        <v>1</v>
      </c>
      <c r="D26" s="451"/>
      <c r="E26" s="452">
        <f t="shared" si="0"/>
        <v>0</v>
      </c>
      <c r="F26" s="453">
        <f t="shared" si="1"/>
        <v>0</v>
      </c>
      <c r="G26" s="454">
        <f t="shared" si="2"/>
        <v>0</v>
      </c>
      <c r="J26" s="446"/>
    </row>
    <row r="27" spans="1:10">
      <c r="A27" s="448" t="s">
        <v>209</v>
      </c>
      <c r="B27" s="449" t="s">
        <v>729</v>
      </c>
      <c r="C27" s="450">
        <v>1</v>
      </c>
      <c r="D27" s="451"/>
      <c r="E27" s="452">
        <f t="shared" si="0"/>
        <v>0</v>
      </c>
      <c r="F27" s="453">
        <f t="shared" si="1"/>
        <v>0</v>
      </c>
      <c r="G27" s="454">
        <f t="shared" si="2"/>
        <v>0</v>
      </c>
      <c r="J27" s="446"/>
    </row>
    <row r="28" spans="1:10">
      <c r="A28" s="448" t="s">
        <v>217</v>
      </c>
      <c r="B28" s="449" t="s">
        <v>729</v>
      </c>
      <c r="C28" s="450">
        <v>1</v>
      </c>
      <c r="D28" s="451"/>
      <c r="E28" s="452">
        <f t="shared" si="0"/>
        <v>0</v>
      </c>
      <c r="F28" s="453">
        <f t="shared" si="1"/>
        <v>0</v>
      </c>
      <c r="G28" s="454">
        <f t="shared" si="2"/>
        <v>0</v>
      </c>
      <c r="J28" s="446"/>
    </row>
    <row r="29" spans="1:10">
      <c r="A29" s="448"/>
      <c r="B29" s="449"/>
      <c r="C29" s="450"/>
      <c r="D29" s="451"/>
      <c r="E29" s="452"/>
      <c r="F29" s="453"/>
      <c r="G29" s="454"/>
      <c r="J29" s="446"/>
    </row>
    <row r="30" spans="1:10">
      <c r="A30" s="448"/>
      <c r="B30" s="449"/>
      <c r="C30" s="450"/>
      <c r="D30" s="451"/>
      <c r="E30" s="452"/>
      <c r="F30" s="453"/>
      <c r="G30" s="454"/>
      <c r="J30" s="446"/>
    </row>
    <row r="31" spans="1:10">
      <c r="A31" s="448"/>
      <c r="B31" s="449"/>
      <c r="C31" s="450"/>
      <c r="D31" s="451"/>
      <c r="E31" s="452"/>
      <c r="F31" s="453"/>
      <c r="G31" s="454"/>
      <c r="J31" s="446"/>
    </row>
    <row r="32" spans="1:10">
      <c r="A32" s="448"/>
      <c r="B32" s="449"/>
      <c r="C32" s="450"/>
      <c r="D32" s="451"/>
      <c r="E32" s="452"/>
      <c r="F32" s="453"/>
      <c r="G32" s="454"/>
      <c r="J32" s="446"/>
    </row>
    <row r="33" spans="1:10">
      <c r="A33" s="448"/>
      <c r="B33" s="449"/>
      <c r="C33" s="450"/>
      <c r="D33" s="451"/>
      <c r="E33" s="452"/>
      <c r="F33" s="453"/>
      <c r="G33" s="454"/>
      <c r="J33" s="446"/>
    </row>
    <row r="34" spans="1:10">
      <c r="A34" s="448"/>
      <c r="B34" s="449"/>
      <c r="C34" s="450"/>
      <c r="D34" s="451"/>
      <c r="E34" s="452"/>
      <c r="F34" s="453"/>
      <c r="G34" s="454"/>
      <c r="J34" s="446"/>
    </row>
    <row r="35" spans="1:10">
      <c r="A35" s="448"/>
      <c r="B35" s="449"/>
      <c r="C35" s="450"/>
      <c r="D35" s="451"/>
      <c r="E35" s="452"/>
      <c r="F35" s="453"/>
      <c r="G35" s="454"/>
      <c r="J35" s="446"/>
    </row>
    <row r="36" spans="1:10">
      <c r="A36" s="448"/>
      <c r="B36" s="449"/>
      <c r="C36" s="450"/>
      <c r="D36" s="451"/>
      <c r="E36" s="452"/>
      <c r="F36" s="453"/>
      <c r="G36" s="454"/>
      <c r="J36" s="446"/>
    </row>
    <row r="37" spans="1:10">
      <c r="A37" s="448"/>
      <c r="B37" s="449"/>
      <c r="C37" s="450"/>
      <c r="D37" s="451"/>
      <c r="E37" s="452"/>
      <c r="F37" s="453"/>
      <c r="G37" s="454"/>
      <c r="J37" s="446"/>
    </row>
    <row r="38" spans="1:10">
      <c r="A38" s="448"/>
      <c r="B38" s="449"/>
      <c r="C38" s="450"/>
      <c r="D38" s="451"/>
      <c r="E38" s="452"/>
      <c r="F38" s="453"/>
      <c r="G38" s="454"/>
      <c r="J38" s="446"/>
    </row>
    <row r="39" spans="1:10">
      <c r="A39" s="448"/>
      <c r="B39" s="449"/>
      <c r="C39" s="450"/>
      <c r="D39" s="451"/>
      <c r="E39" s="452"/>
      <c r="F39" s="453"/>
      <c r="G39" s="454"/>
      <c r="J39" s="446"/>
    </row>
    <row r="40" spans="1:10">
      <c r="A40" s="448"/>
      <c r="B40" s="449"/>
      <c r="C40" s="450"/>
      <c r="D40" s="451"/>
      <c r="E40" s="452"/>
      <c r="F40" s="453"/>
      <c r="G40" s="454"/>
      <c r="J40" s="446"/>
    </row>
    <row r="41" spans="1:10">
      <c r="A41" s="448"/>
      <c r="B41" s="449"/>
      <c r="C41" s="450"/>
      <c r="D41" s="451"/>
      <c r="E41" s="452"/>
      <c r="F41" s="453"/>
      <c r="G41" s="454"/>
      <c r="J41" s="446"/>
    </row>
    <row r="42" spans="1:10">
      <c r="A42" s="448"/>
      <c r="B42" s="449"/>
      <c r="C42" s="450"/>
      <c r="D42" s="485"/>
      <c r="E42" s="452"/>
      <c r="F42" s="453"/>
      <c r="G42" s="454"/>
      <c r="J42" s="446"/>
    </row>
    <row r="43" spans="1:10">
      <c r="A43" s="455"/>
      <c r="C43" s="456"/>
      <c r="D43" s="456"/>
      <c r="E43" s="456"/>
      <c r="F43" s="456"/>
      <c r="G43" s="456"/>
      <c r="J43" s="446"/>
    </row>
    <row r="44" spans="1:10" ht="31">
      <c r="A44" s="380" t="s">
        <v>15</v>
      </c>
      <c r="B44" s="187" t="s">
        <v>163</v>
      </c>
      <c r="C44" s="188"/>
      <c r="D44" s="188"/>
      <c r="E44" s="188"/>
      <c r="F44" s="189"/>
      <c r="G44" s="189" t="s">
        <v>162</v>
      </c>
      <c r="J44" s="446"/>
    </row>
    <row r="45" spans="1:10">
      <c r="A45" s="448" t="s">
        <v>21</v>
      </c>
      <c r="B45" s="449" t="s">
        <v>135</v>
      </c>
      <c r="C45" s="457"/>
      <c r="D45" s="457"/>
      <c r="E45" s="457"/>
      <c r="F45" s="458"/>
      <c r="G45" s="459">
        <f>'11-Machinekosten'!Q30</f>
        <v>0</v>
      </c>
      <c r="J45" s="446"/>
    </row>
    <row r="46" spans="1:10">
      <c r="A46" s="448"/>
      <c r="B46" s="449"/>
      <c r="C46" s="457"/>
      <c r="D46" s="457"/>
      <c r="E46" s="457"/>
      <c r="F46" s="458"/>
      <c r="G46" s="460"/>
      <c r="J46" s="446"/>
    </row>
    <row r="47" spans="1:10">
      <c r="A47" s="448"/>
      <c r="B47" s="449"/>
      <c r="C47" s="457"/>
      <c r="D47" s="457"/>
      <c r="E47" s="457"/>
      <c r="F47" s="458"/>
      <c r="G47" s="460"/>
      <c r="J47" s="446"/>
    </row>
    <row r="48" spans="1:10">
      <c r="G48" s="461"/>
      <c r="J48" s="446"/>
    </row>
    <row r="49" spans="1:16" s="466" customFormat="1">
      <c r="A49" s="462" t="s">
        <v>22</v>
      </c>
      <c r="B49" s="463"/>
      <c r="C49" s="463"/>
      <c r="D49" s="463"/>
      <c r="E49" s="464">
        <f>SUM(E11:E42)</f>
        <v>0</v>
      </c>
      <c r="F49" s="463"/>
      <c r="G49" s="465">
        <f>SUM(G11:G48)</f>
        <v>0</v>
      </c>
      <c r="I49" s="438"/>
      <c r="J49" s="446"/>
      <c r="K49" s="438"/>
      <c r="L49" s="438"/>
      <c r="M49" s="438"/>
      <c r="N49" s="438"/>
      <c r="O49" s="438"/>
      <c r="P49" s="438"/>
    </row>
    <row r="50" spans="1:16">
      <c r="J50" s="446"/>
    </row>
    <row r="51" spans="1:16">
      <c r="J51" s="446"/>
    </row>
    <row r="52" spans="1:16">
      <c r="J52" s="446"/>
    </row>
    <row r="53" spans="1:16">
      <c r="J53" s="446"/>
    </row>
    <row r="54" spans="1:16">
      <c r="J54" s="446"/>
    </row>
    <row r="55" spans="1:16">
      <c r="J55" s="446"/>
    </row>
    <row r="56" spans="1:16">
      <c r="J56" s="446"/>
    </row>
  </sheetData>
  <pageMargins left="0.59375" right="0.7" top="0.75" bottom="0.75" header="0.3" footer="0.3"/>
  <pageSetup paperSize="9" scale="80" fitToHeight="0" orientation="landscape" r:id="rId1"/>
  <headerFooter>
    <oddFooter>&amp;L&amp;"Georgia,Standaard"&amp;F-&amp;A&amp;R&amp;"Georgia,Standaard"&amp;11printversie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56B7-2F58-4712-97A6-6964AD72C66F}">
  <sheetPr>
    <tabColor theme="0" tint="-0.14999847407452621"/>
    <pageSetUpPr fitToPage="1"/>
  </sheetPr>
  <dimension ref="A1:F44"/>
  <sheetViews>
    <sheetView showGridLines="0" zoomScaleNormal="100" workbookViewId="0"/>
  </sheetViews>
  <sheetFormatPr defaultColWidth="8.81640625" defaultRowHeight="15.5"/>
  <cols>
    <col min="1" max="1" width="92.26953125" style="425" customWidth="1"/>
    <col min="2" max="2" width="83.7265625" style="425" customWidth="1"/>
    <col min="3" max="3" width="19.1796875" style="425" bestFit="1" customWidth="1"/>
    <col min="4" max="6" width="18.54296875" style="425" customWidth="1"/>
    <col min="7" max="16384" width="8.81640625" style="425"/>
  </cols>
  <sheetData>
    <row r="1" spans="1:6" s="2" customFormat="1" ht="13">
      <c r="A1" s="406" t="s">
        <v>4</v>
      </c>
      <c r="B1" s="142"/>
      <c r="C1" s="142"/>
      <c r="D1" s="143"/>
      <c r="E1" s="56"/>
      <c r="F1" s="56"/>
    </row>
    <row r="2" spans="1:6" s="2" customFormat="1" ht="13">
      <c r="A2" s="83"/>
      <c r="B2" s="56"/>
      <c r="C2" s="56"/>
      <c r="D2" s="56"/>
      <c r="E2" s="56"/>
      <c r="F2" s="56"/>
    </row>
    <row r="3" spans="1:6" s="2" customFormat="1">
      <c r="A3" s="37" t="str">
        <f>'2-Kosten per locatie'!A3</f>
        <v>Naam opdrachtgever</v>
      </c>
      <c r="B3" s="46" t="str">
        <f>'2-Kosten per locatie'!B3</f>
        <v>Zaan Primair</v>
      </c>
      <c r="C3" s="144"/>
      <c r="D3" s="144"/>
      <c r="E3" s="56"/>
      <c r="F3" s="56"/>
    </row>
    <row r="4" spans="1:6" s="2" customFormat="1">
      <c r="A4" s="37" t="str">
        <f>'2-Kosten per locatie'!A4</f>
        <v>Calculatie onderdeel</v>
      </c>
      <c r="B4" s="46" t="str">
        <f ca="1">MID(CELL("bestandsnaam",$C$10),SEARCH("]",CELL("bestandsnaam",$C$10),1)+1,256)</f>
        <v>9-Afroepprijs</v>
      </c>
      <c r="C4" s="145"/>
      <c r="D4" s="146"/>
      <c r="E4" s="56"/>
      <c r="F4" s="56"/>
    </row>
    <row r="5" spans="1:6" s="2" customFormat="1">
      <c r="A5" s="37" t="str">
        <f>'2-Kosten per locatie'!A5</f>
        <v>Gebouw/plaats</v>
      </c>
      <c r="B5" s="46" t="str">
        <f>'2-Kosten per locatie'!B5</f>
        <v>Divers</v>
      </c>
      <c r="C5" s="145"/>
      <c r="D5" s="146"/>
      <c r="E5" s="56"/>
      <c r="F5" s="56"/>
    </row>
    <row r="6" spans="1:6" s="2" customFormat="1">
      <c r="A6" s="37" t="str">
        <f>'2-Kosten per locatie'!A6</f>
        <v>Referentie nummer</v>
      </c>
      <c r="B6" s="46" t="str">
        <f>'2-Kosten per locatie'!B6</f>
        <v>Perceel 1 (Noordelijk gebied)</v>
      </c>
      <c r="C6" s="145"/>
      <c r="D6" s="146"/>
      <c r="E6" s="56"/>
      <c r="F6" s="56"/>
    </row>
    <row r="7" spans="1:6" s="2" customFormat="1">
      <c r="A7" s="37" t="str">
        <f>'2-Kosten per locatie'!A7</f>
        <v>Naam dienstverlener</v>
      </c>
      <c r="B7" s="46">
        <f>'2-Kosten per locatie'!B7</f>
        <v>0</v>
      </c>
      <c r="C7" s="145"/>
      <c r="D7" s="146"/>
      <c r="E7" s="56"/>
      <c r="F7" s="56"/>
    </row>
    <row r="8" spans="1:6" s="2" customFormat="1">
      <c r="A8" s="37" t="str">
        <f>'2-Kosten per locatie'!A8</f>
        <v>Prijspeil</v>
      </c>
      <c r="B8" s="222">
        <f>'2-Kosten per locatie'!B8</f>
        <v>46388</v>
      </c>
      <c r="C8" s="145"/>
      <c r="D8" s="146"/>
      <c r="E8" s="56"/>
      <c r="F8" s="56"/>
    </row>
    <row r="9" spans="1:6" s="2" customFormat="1">
      <c r="A9" s="37"/>
      <c r="B9" s="222"/>
      <c r="C9" s="145"/>
      <c r="D9" s="146"/>
      <c r="E9" s="56"/>
      <c r="F9" s="56"/>
    </row>
    <row r="10" spans="1:6" ht="31.5" customHeight="1">
      <c r="A10" s="426"/>
      <c r="B10" s="427"/>
      <c r="C10" s="509"/>
      <c r="D10" s="509"/>
      <c r="E10" s="509"/>
    </row>
    <row r="11" spans="1:6" ht="18">
      <c r="A11" s="476" t="s">
        <v>632</v>
      </c>
      <c r="B11" s="477" t="s">
        <v>633</v>
      </c>
      <c r="C11" s="477" t="s">
        <v>634</v>
      </c>
      <c r="D11" s="477" t="s">
        <v>635</v>
      </c>
      <c r="E11" s="477" t="s">
        <v>636</v>
      </c>
      <c r="F11" s="478"/>
    </row>
    <row r="12" spans="1:6">
      <c r="A12" s="479" t="s">
        <v>70</v>
      </c>
      <c r="B12" s="479" t="s">
        <v>724</v>
      </c>
      <c r="C12" s="480"/>
      <c r="D12" s="480"/>
      <c r="E12" s="480"/>
      <c r="F12" s="478"/>
    </row>
    <row r="13" spans="1:6">
      <c r="A13" s="479" t="s">
        <v>70</v>
      </c>
      <c r="B13" s="479" t="s">
        <v>637</v>
      </c>
      <c r="C13" s="480"/>
      <c r="D13" s="480"/>
      <c r="E13" s="480"/>
      <c r="F13" s="478"/>
    </row>
    <row r="14" spans="1:6">
      <c r="A14" s="479" t="s">
        <v>638</v>
      </c>
      <c r="B14" s="479" t="s">
        <v>639</v>
      </c>
      <c r="C14" s="480"/>
      <c r="D14" s="480"/>
      <c r="E14" s="480"/>
      <c r="F14" s="478"/>
    </row>
    <row r="15" spans="1:6">
      <c r="A15" s="479" t="s">
        <v>180</v>
      </c>
      <c r="B15" s="479" t="s">
        <v>640</v>
      </c>
      <c r="C15" s="480"/>
      <c r="D15" s="480"/>
      <c r="E15" s="480"/>
      <c r="F15" s="478"/>
    </row>
    <row r="16" spans="1:6">
      <c r="A16" s="479" t="s">
        <v>641</v>
      </c>
      <c r="B16" s="479" t="s">
        <v>642</v>
      </c>
      <c r="C16" s="480"/>
      <c r="D16" s="480"/>
      <c r="E16" s="480"/>
      <c r="F16" s="478"/>
    </row>
    <row r="17" spans="1:6">
      <c r="A17" s="479" t="s">
        <v>601</v>
      </c>
      <c r="B17" s="479" t="s">
        <v>642</v>
      </c>
      <c r="C17" s="480"/>
      <c r="D17" s="480"/>
      <c r="E17" s="480"/>
      <c r="F17" s="478"/>
    </row>
    <row r="18" spans="1:6">
      <c r="A18" s="479" t="s">
        <v>202</v>
      </c>
      <c r="B18" s="479" t="s">
        <v>642</v>
      </c>
      <c r="C18" s="480"/>
      <c r="D18" s="480"/>
      <c r="E18" s="480"/>
      <c r="F18" s="478"/>
    </row>
    <row r="19" spans="1:6" ht="18">
      <c r="A19" s="476" t="s">
        <v>643</v>
      </c>
      <c r="B19" s="477" t="s">
        <v>633</v>
      </c>
      <c r="C19" s="477" t="s">
        <v>634</v>
      </c>
      <c r="D19" s="477" t="s">
        <v>644</v>
      </c>
      <c r="E19" s="477" t="s">
        <v>645</v>
      </c>
      <c r="F19" s="481" t="s">
        <v>646</v>
      </c>
    </row>
    <row r="20" spans="1:6">
      <c r="A20" s="479" t="s">
        <v>647</v>
      </c>
      <c r="B20" s="479" t="s">
        <v>648</v>
      </c>
      <c r="C20" s="480"/>
      <c r="D20" s="480"/>
      <c r="E20" s="480"/>
      <c r="F20" s="480"/>
    </row>
    <row r="21" spans="1:6">
      <c r="A21" s="479" t="s">
        <v>649</v>
      </c>
      <c r="B21" s="479" t="s">
        <v>650</v>
      </c>
      <c r="C21" s="480"/>
      <c r="D21" s="480"/>
      <c r="E21" s="480"/>
      <c r="F21" s="480"/>
    </row>
    <row r="22" spans="1:6">
      <c r="A22" s="479" t="s">
        <v>651</v>
      </c>
      <c r="B22" s="479" t="s">
        <v>652</v>
      </c>
      <c r="C22" s="480"/>
      <c r="D22" s="480"/>
      <c r="E22" s="480"/>
      <c r="F22" s="480"/>
    </row>
    <row r="23" spans="1:6" ht="26">
      <c r="A23" s="479" t="s">
        <v>653</v>
      </c>
      <c r="B23" s="479" t="s">
        <v>727</v>
      </c>
      <c r="C23" s="480"/>
      <c r="D23" s="480"/>
      <c r="E23" s="480"/>
      <c r="F23" s="480"/>
    </row>
    <row r="24" spans="1:6">
      <c r="A24" s="479" t="s">
        <v>654</v>
      </c>
      <c r="B24" s="479" t="s">
        <v>652</v>
      </c>
      <c r="C24" s="480"/>
      <c r="D24" s="480"/>
      <c r="E24" s="480"/>
      <c r="F24" s="480"/>
    </row>
    <row r="25" spans="1:6">
      <c r="A25" s="479" t="s">
        <v>655</v>
      </c>
      <c r="B25" s="479" t="s">
        <v>656</v>
      </c>
      <c r="C25" s="480"/>
      <c r="D25" s="480"/>
      <c r="E25" s="480"/>
      <c r="F25" s="480"/>
    </row>
    <row r="26" spans="1:6" ht="26">
      <c r="A26" s="479" t="s">
        <v>519</v>
      </c>
      <c r="B26" s="479" t="s">
        <v>657</v>
      </c>
      <c r="C26" s="480"/>
      <c r="D26" s="480"/>
      <c r="E26" s="480"/>
      <c r="F26" s="480"/>
    </row>
    <row r="27" spans="1:6">
      <c r="A27" s="479" t="s">
        <v>658</v>
      </c>
      <c r="B27" s="479" t="s">
        <v>659</v>
      </c>
      <c r="C27" s="480"/>
      <c r="D27" s="480"/>
      <c r="E27" s="480"/>
      <c r="F27" s="480"/>
    </row>
    <row r="28" spans="1:6">
      <c r="A28" s="479" t="s">
        <v>660</v>
      </c>
      <c r="B28" s="479" t="s">
        <v>661</v>
      </c>
      <c r="C28" s="480"/>
      <c r="D28" s="480"/>
      <c r="E28" s="480"/>
      <c r="F28" s="480"/>
    </row>
    <row r="29" spans="1:6">
      <c r="A29" s="479" t="s">
        <v>660</v>
      </c>
      <c r="B29" s="479" t="s">
        <v>662</v>
      </c>
      <c r="C29" s="480"/>
      <c r="D29" s="480"/>
      <c r="E29" s="480"/>
      <c r="F29" s="480"/>
    </row>
    <row r="30" spans="1:6">
      <c r="A30" s="479" t="s">
        <v>663</v>
      </c>
      <c r="B30" s="479" t="s">
        <v>664</v>
      </c>
      <c r="C30" s="480"/>
      <c r="D30" s="480"/>
      <c r="E30" s="480"/>
      <c r="F30" s="480"/>
    </row>
    <row r="31" spans="1:6" ht="18">
      <c r="A31" s="476" t="s">
        <v>643</v>
      </c>
      <c r="B31" s="477" t="s">
        <v>172</v>
      </c>
      <c r="C31" s="477" t="s">
        <v>665</v>
      </c>
      <c r="D31" s="477" t="s">
        <v>666</v>
      </c>
      <c r="E31" s="477" t="s">
        <v>667</v>
      </c>
      <c r="F31" s="478"/>
    </row>
    <row r="32" spans="1:6">
      <c r="A32" s="479" t="s">
        <v>668</v>
      </c>
      <c r="B32" s="479" t="s">
        <v>669</v>
      </c>
      <c r="C32" s="480"/>
      <c r="D32" s="480"/>
      <c r="E32" s="480"/>
      <c r="F32" s="478"/>
    </row>
    <row r="33" spans="1:6">
      <c r="A33" s="479" t="s">
        <v>670</v>
      </c>
      <c r="B33" s="479" t="s">
        <v>671</v>
      </c>
      <c r="C33" s="480"/>
      <c r="D33" s="480"/>
      <c r="E33" s="480"/>
      <c r="F33" s="478"/>
    </row>
    <row r="34" spans="1:6" ht="18">
      <c r="A34" s="476" t="s">
        <v>672</v>
      </c>
      <c r="B34" s="477" t="s">
        <v>172</v>
      </c>
      <c r="C34" s="477" t="s">
        <v>673</v>
      </c>
      <c r="D34" s="478"/>
      <c r="E34" s="478"/>
      <c r="F34" s="478"/>
    </row>
    <row r="35" spans="1:6">
      <c r="A35" s="479" t="s">
        <v>674</v>
      </c>
      <c r="B35" s="479" t="s">
        <v>675</v>
      </c>
      <c r="C35" s="480"/>
      <c r="D35" s="478"/>
      <c r="E35" s="478"/>
      <c r="F35" s="478"/>
    </row>
    <row r="36" spans="1:6" ht="26">
      <c r="A36" s="479" t="s">
        <v>676</v>
      </c>
      <c r="B36" s="479" t="s">
        <v>677</v>
      </c>
      <c r="C36" s="480"/>
      <c r="D36" s="478"/>
      <c r="E36" s="478"/>
      <c r="F36" s="478"/>
    </row>
    <row r="37" spans="1:6" ht="26">
      <c r="A37" s="479" t="s">
        <v>678</v>
      </c>
      <c r="B37" s="479" t="s">
        <v>679</v>
      </c>
      <c r="C37" s="480"/>
      <c r="D37" s="478"/>
      <c r="E37" s="478"/>
      <c r="F37" s="478"/>
    </row>
    <row r="38" spans="1:6">
      <c r="A38" s="428"/>
      <c r="B38" s="428"/>
      <c r="C38" s="478"/>
      <c r="D38" s="478"/>
      <c r="E38" s="478"/>
      <c r="F38" s="478"/>
    </row>
    <row r="39" spans="1:6" ht="29.5" customHeight="1">
      <c r="A39" s="479" t="s">
        <v>680</v>
      </c>
      <c r="B39" s="429"/>
      <c r="C39" s="478"/>
      <c r="D39" s="478"/>
      <c r="E39" s="478"/>
      <c r="F39" s="478"/>
    </row>
    <row r="40" spans="1:6">
      <c r="A40" s="478"/>
      <c r="B40" s="478"/>
      <c r="C40" s="478"/>
      <c r="D40" s="478"/>
      <c r="E40" s="478"/>
      <c r="F40" s="478"/>
    </row>
    <row r="41" spans="1:6">
      <c r="A41" s="482" t="s">
        <v>164</v>
      </c>
      <c r="B41" s="483"/>
      <c r="C41" s="483"/>
      <c r="D41" s="484"/>
      <c r="E41" s="478"/>
      <c r="F41" s="478"/>
    </row>
    <row r="42" spans="1:6">
      <c r="A42" s="147" t="s">
        <v>165</v>
      </c>
      <c r="B42" s="56"/>
      <c r="C42" s="56"/>
      <c r="D42" s="56"/>
    </row>
    <row r="43" spans="1:6">
      <c r="A43" s="147" t="s">
        <v>166</v>
      </c>
      <c r="B43" s="142"/>
      <c r="C43" s="142"/>
      <c r="D43" s="147"/>
    </row>
    <row r="44" spans="1:6">
      <c r="A44" s="147"/>
      <c r="B44" s="142"/>
      <c r="C44" s="142"/>
      <c r="D44" s="147"/>
    </row>
  </sheetData>
  <mergeCells count="1">
    <mergeCell ref="C10:E10"/>
  </mergeCells>
  <conditionalFormatting sqref="C12:E18 C35:C37">
    <cfRule type="cellIs" dxfId="2" priority="2" stopIfTrue="1" operator="equal">
      <formula>"nvt"</formula>
    </cfRule>
  </conditionalFormatting>
  <conditionalFormatting sqref="C32:E33">
    <cfRule type="cellIs" dxfId="1" priority="3" stopIfTrue="1" operator="equal">
      <formula>"nvt"</formula>
    </cfRule>
  </conditionalFormatting>
  <conditionalFormatting sqref="C20:F30">
    <cfRule type="cellIs" dxfId="0" priority="1" stopIfTrue="1" operator="equal">
      <formula>"nvt"</formula>
    </cfRule>
  </conditionalFormatting>
  <pageMargins left="0.7" right="0.7" top="0.75" bottom="0.75" header="0.3" footer="0.3"/>
  <pageSetup paperSize="9" scale="53" fitToHeight="0" orientation="landscape" r:id="rId1"/>
  <headerFooter>
    <oddFooter>&amp;L&amp;"Georgia,Standaard"&amp;11&amp;F-&amp;A&amp;R&amp;"Georgia,Standaard"&amp;11printversie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www.w3.org/XML/1998/namespace"/>
    <ds:schemaRef ds:uri="http://purl.org/dc/elements/1.1/"/>
    <ds:schemaRef ds:uri="http://schemas.microsoft.com/office/2006/documentManagement/types"/>
    <ds:schemaRef ds:uri="96af1940-cf19-4b50-92f4-053594182cfa"/>
    <ds:schemaRef ds:uri="http://purl.org/dc/dcmitype/"/>
    <ds:schemaRef ds:uri="http://schemas.openxmlformats.org/package/2006/metadata/core-properties"/>
    <ds:schemaRef ds:uri="http://purl.org/dc/terms/"/>
    <ds:schemaRef ds:uri="http://schemas.microsoft.com/office/infopath/2007/PartnerControls"/>
    <ds:schemaRef ds:uri="2bdcc3f3-49a5-47c4-ae00-3e6a3f4b5f23"/>
    <ds:schemaRef ds:uri="http://schemas.microsoft.com/office/2006/metadata/properties"/>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FD88A92B-08F5-43DF-B177-CA5EA0304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0f7900d-605d-439f-b7ac-d709e7990e6e}" enabled="0" method="" siteId="{a0f7900d-605d-439f-b7ac-d709e7990e6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14</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11-Machinekosten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'10-Vloeronderhoud'!Afdruktitels</vt:lpstr>
      <vt:lpstr>'2-Kosten per locatie'!Afdruktitels</vt:lpstr>
      <vt:lpstr>'4-Basis ruimtestaat'!Afdruktitels</vt:lpstr>
      <vt:lpstr>'6-Opbouw uurtarief productie'!Afdruktitels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Kwaliteitsadvies@QuestionMarkGroup.onmicrosoft.com</dc:creator>
  <cp:keywords/>
  <dc:description/>
  <cp:lastModifiedBy>Marieke Weerts | CONTRAST</cp:lastModifiedBy>
  <cp:revision/>
  <cp:lastPrinted>2026-08-17T19:01:50Z</cp:lastPrinted>
  <dcterms:created xsi:type="dcterms:W3CDTF">1999-10-05T12:28:40Z</dcterms:created>
  <dcterms:modified xsi:type="dcterms:W3CDTF">2026-08-17T19:30:48Z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